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8505" firstSheet="8" activeTab="11"/>
  </bookViews>
  <sheets>
    <sheet name="Sheet1" sheetId="2" state="hidden" r:id="rId1"/>
    <sheet name="Parameter utama" sheetId="7" r:id="rId2"/>
    <sheet name="Parameter utama_olah" sheetId="8" r:id="rId3"/>
    <sheet name="Rasio Keuangan" sheetId="3" r:id="rId4"/>
    <sheet name="Rasio Keuangan_olah" sheetId="9" r:id="rId5"/>
    <sheet name="Range nilai rasio keu" sheetId="12" r:id="rId6"/>
    <sheet name="Financial Growth" sheetId="4" r:id="rId7"/>
    <sheet name="Range nilai financial growth" sheetId="13" r:id="rId8"/>
    <sheet name="Financial Growth_olah" sheetId="10" r:id="rId9"/>
    <sheet name="Aspek Kualitatif" sheetId="5" r:id="rId10"/>
    <sheet name="Aspek Kualitatif_olah" sheetId="11" r:id="rId11"/>
    <sheet name="Range Aspek Kualitatif_olah" sheetId="14" r:id="rId12"/>
    <sheet name="Template Rating Syariah" sheetId="1" r:id="rId13"/>
  </sheets>
  <externalReferences>
    <externalReference r:id="rId14"/>
    <externalReference r:id="rId15"/>
    <externalReference r:id="rId16"/>
    <externalReference r:id="rId17"/>
  </externalReferences>
  <definedNames>
    <definedName name="ctp">[1]Counterparty!$A$2:$A$67</definedName>
    <definedName name="FITCH">[2]Counterparty!$N$89:$N$110</definedName>
    <definedName name="FOREIGN_BANK">[1]Counterparty!$A$73:$A$572</definedName>
    <definedName name="INV_GRADE">[3]Counterparty!$K$30:$K$32</definedName>
    <definedName name="JANG">[4]Counterparty!$D$90:$D$91</definedName>
    <definedName name="JANGK">[3]Counterparty!$K$69:$K$70</definedName>
    <definedName name="KEBR">[3]Counterparty!$K$73:$K$74</definedName>
    <definedName name="kej">[3]Counterparty!$K$26:$K$28</definedName>
    <definedName name="kel_ctp" localSheetId="10">[1]Indikator!#REF!</definedName>
    <definedName name="kel_ctp" localSheetId="8">[1]Indikator!#REF!</definedName>
    <definedName name="kel_ctp" localSheetId="2">[1]Indikator!#REF!</definedName>
    <definedName name="kel_ctp" localSheetId="11">[1]Indikator!#REF!</definedName>
    <definedName name="kel_ctp" localSheetId="7">[1]Indikator!#REF!</definedName>
    <definedName name="kel_ctp" localSheetId="4">[1]Indikator!#REF!</definedName>
    <definedName name="kel_ctp" localSheetId="12">[1]Indikator!#REF!</definedName>
    <definedName name="kel_ctp">[1]Indikator!#REF!</definedName>
    <definedName name="KEPML">[3]Counterparty!$K$17:$K$24</definedName>
    <definedName name="konsol_bank" localSheetId="10">#REF!</definedName>
    <definedName name="konsol_bank" localSheetId="8">#REF!</definedName>
    <definedName name="konsol_bank" localSheetId="2">#REF!</definedName>
    <definedName name="konsol_bank" localSheetId="11">#REF!</definedName>
    <definedName name="konsol_bank" localSheetId="7">#REF!</definedName>
    <definedName name="konsol_bank" localSheetId="4">#REF!</definedName>
    <definedName name="konsol_bank">#REF!</definedName>
    <definedName name="KPML">[3]Counterparty!$K$17:$M$24</definedName>
    <definedName name="local" localSheetId="10">#REF!</definedName>
    <definedName name="local" localSheetId="8">#REF!</definedName>
    <definedName name="local" localSheetId="2">#REF!</definedName>
    <definedName name="local" localSheetId="11">#REF!</definedName>
    <definedName name="local" localSheetId="7">#REF!</definedName>
    <definedName name="local" localSheetId="4">#REF!</definedName>
    <definedName name="local">#REF!</definedName>
    <definedName name="local_bank" localSheetId="10">#REF!</definedName>
    <definedName name="local_bank" localSheetId="8">#REF!</definedName>
    <definedName name="local_bank" localSheetId="2">#REF!</definedName>
    <definedName name="local_bank" localSheetId="11">#REF!</definedName>
    <definedName name="local_bank" localSheetId="7">#REF!</definedName>
    <definedName name="local_bank" localSheetId="4">#REF!</definedName>
    <definedName name="local_bank">#REF!</definedName>
    <definedName name="MMD">[3]Counterparty!$K$56:$K$57</definedName>
    <definedName name="Moody">[2]Counterparty!$N$44:$N$65</definedName>
    <definedName name="nama_bank">[1]Counterparty!$K$3:$K$8</definedName>
    <definedName name="PBA">[3]Counterparty!$K$48:$K$52</definedName>
    <definedName name="pernyataan">[3]Counterparty!$K$33:$K$34</definedName>
    <definedName name="_xlnm.Print_Area" localSheetId="6">'Financial Growth'!$A$1:$M$85</definedName>
    <definedName name="_xlnm.Print_Area" localSheetId="8">'Financial Growth_olah'!$A$1:$W$85</definedName>
    <definedName name="_xlnm.Print_Area" localSheetId="2">'Parameter utama_olah'!$A$1:$P$35</definedName>
    <definedName name="_xlnm.Print_Area" localSheetId="3">'Rasio Keuangan'!$A$1:$M$148</definedName>
    <definedName name="_xlnm.Print_Area" localSheetId="4">'Rasio Keuangan_olah'!$K$1:$W$148</definedName>
    <definedName name="SANDP">[2]Counterparty!$N$66:$N$88</definedName>
    <definedName name="yes">[3]Result!$D$74:$D$75</definedName>
    <definedName name="YR">[3]Counterparty!$C$2:$C$7</definedName>
  </definedNames>
  <calcPr calcId="144525"/>
</workbook>
</file>

<file path=xl/calcChain.xml><?xml version="1.0" encoding="utf-8"?>
<calcChain xmlns="http://schemas.openxmlformats.org/spreadsheetml/2006/main">
  <c r="E262" i="12" l="1"/>
  <c r="E260" i="12"/>
  <c r="E258" i="12"/>
  <c r="E256" i="12"/>
  <c r="C249" i="12"/>
  <c r="C243" i="12"/>
  <c r="K257" i="13" l="1"/>
  <c r="J4" i="13"/>
  <c r="J6" i="13"/>
  <c r="J8" i="13"/>
  <c r="J10" i="13"/>
  <c r="J11" i="13"/>
  <c r="J12" i="13"/>
  <c r="J14" i="13"/>
  <c r="J17" i="13"/>
  <c r="J21" i="13"/>
  <c r="J23" i="13"/>
  <c r="J25" i="13"/>
  <c r="J27" i="13"/>
  <c r="J28" i="13"/>
  <c r="J29" i="13"/>
  <c r="J31" i="13"/>
  <c r="J34" i="13"/>
  <c r="J39" i="13"/>
  <c r="J41" i="13"/>
  <c r="J43" i="13"/>
  <c r="J45" i="13"/>
  <c r="J46" i="13"/>
  <c r="J47" i="13"/>
  <c r="J49" i="13"/>
  <c r="J52" i="13"/>
  <c r="J56" i="13"/>
  <c r="J58" i="13"/>
  <c r="J60" i="13"/>
  <c r="J62" i="13"/>
  <c r="J63" i="13"/>
  <c r="J64" i="13"/>
  <c r="J66" i="13"/>
  <c r="J69" i="13"/>
  <c r="J73" i="13"/>
  <c r="J75" i="13"/>
  <c r="J77" i="13"/>
  <c r="J79" i="13"/>
  <c r="J80" i="13"/>
  <c r="J81" i="13"/>
  <c r="J83" i="13"/>
  <c r="J86" i="13"/>
  <c r="J90" i="13"/>
  <c r="J92" i="13"/>
  <c r="J94" i="13"/>
  <c r="J96" i="13"/>
  <c r="J97" i="13"/>
  <c r="J98" i="13"/>
  <c r="J100" i="13"/>
  <c r="J103" i="13"/>
  <c r="J107" i="13"/>
  <c r="J109" i="13"/>
  <c r="J111" i="13"/>
  <c r="J113" i="13"/>
  <c r="J114" i="13"/>
  <c r="J115" i="13"/>
  <c r="J117" i="13"/>
  <c r="J120" i="13"/>
  <c r="J124" i="13"/>
  <c r="J126" i="13"/>
  <c r="J128" i="13"/>
  <c r="J130" i="13"/>
  <c r="J131" i="13"/>
  <c r="J132" i="13"/>
  <c r="J134" i="13"/>
  <c r="J137" i="13"/>
  <c r="J141" i="13"/>
  <c r="J143" i="13"/>
  <c r="J145" i="13"/>
  <c r="J147" i="13"/>
  <c r="J148" i="13"/>
  <c r="J149" i="13"/>
  <c r="J151" i="13"/>
  <c r="J154" i="13"/>
  <c r="J158" i="13"/>
  <c r="J160" i="13"/>
  <c r="J162" i="13"/>
  <c r="J164" i="13"/>
  <c r="J165" i="13"/>
  <c r="J166" i="13"/>
  <c r="J168" i="13"/>
  <c r="J171" i="13"/>
  <c r="J175" i="13"/>
  <c r="J177" i="13"/>
  <c r="J179" i="13"/>
  <c r="J181" i="13"/>
  <c r="J182" i="13"/>
  <c r="J183" i="13"/>
  <c r="J185" i="13"/>
  <c r="J188" i="13"/>
  <c r="J192" i="13"/>
  <c r="J194" i="13"/>
  <c r="J196" i="13"/>
  <c r="J198" i="13"/>
  <c r="J199" i="13"/>
  <c r="J200" i="13"/>
  <c r="J202" i="13"/>
  <c r="J205" i="13"/>
  <c r="C29" i="14" l="1"/>
  <c r="C30" i="14" s="1"/>
  <c r="C31" i="14" s="1"/>
  <c r="C32" i="14" s="1"/>
  <c r="C33" i="14" s="1"/>
  <c r="C25" i="14"/>
  <c r="C24" i="14" s="1"/>
  <c r="C23" i="14" s="1"/>
  <c r="C22" i="14" s="1"/>
  <c r="F17" i="14"/>
  <c r="F16" i="14"/>
  <c r="F15" i="14" s="1"/>
  <c r="I15" i="14"/>
  <c r="I16" i="14" s="1"/>
  <c r="I17" i="14" s="1"/>
  <c r="C15" i="14"/>
  <c r="C16" i="14" s="1"/>
  <c r="C17" i="14" s="1"/>
  <c r="C18" i="14" s="1"/>
  <c r="C19" i="14" s="1"/>
  <c r="D17" i="13" l="1"/>
  <c r="C252" i="12" l="1"/>
  <c r="C256" i="12" s="1"/>
  <c r="C258" i="12" l="1"/>
  <c r="C260" i="12"/>
  <c r="D253" i="13"/>
  <c r="D263" i="13" s="1"/>
  <c r="E244" i="13"/>
  <c r="F244" i="13"/>
  <c r="G244" i="13"/>
  <c r="H244" i="13"/>
  <c r="H248" i="13" s="1"/>
  <c r="H250" i="13" s="1"/>
  <c r="I244" i="13"/>
  <c r="J244" i="13"/>
  <c r="K244" i="13"/>
  <c r="D244" i="13"/>
  <c r="I202" i="13"/>
  <c r="P214" i="13" s="1"/>
  <c r="H202" i="13"/>
  <c r="I200" i="13"/>
  <c r="P213" i="13" s="1"/>
  <c r="H200" i="13"/>
  <c r="I199" i="13"/>
  <c r="H199" i="13"/>
  <c r="I198" i="13"/>
  <c r="P211" i="13" s="1"/>
  <c r="H198" i="13"/>
  <c r="I196" i="13"/>
  <c r="H196" i="13"/>
  <c r="I194" i="13"/>
  <c r="P215" i="13" s="1"/>
  <c r="H194" i="13"/>
  <c r="I192" i="13"/>
  <c r="P210" i="13" s="1"/>
  <c r="H192" i="13"/>
  <c r="I185" i="13"/>
  <c r="O214" i="13" s="1"/>
  <c r="H185" i="13"/>
  <c r="I183" i="13"/>
  <c r="O213" i="13" s="1"/>
  <c r="H183" i="13"/>
  <c r="I182" i="13"/>
  <c r="H182" i="13"/>
  <c r="I181" i="13"/>
  <c r="K181" i="13" s="1"/>
  <c r="H181" i="13"/>
  <c r="I179" i="13"/>
  <c r="K179" i="13" s="1"/>
  <c r="H179" i="13"/>
  <c r="I177" i="13"/>
  <c r="O215" i="13" s="1"/>
  <c r="H177" i="13"/>
  <c r="I175" i="13"/>
  <c r="O210" i="13" s="1"/>
  <c r="H175" i="13"/>
  <c r="K175" i="13" s="1"/>
  <c r="I168" i="13"/>
  <c r="K168" i="13" s="1"/>
  <c r="H168" i="13"/>
  <c r="I166" i="13"/>
  <c r="K166" i="13" s="1"/>
  <c r="H166" i="13"/>
  <c r="I165" i="13"/>
  <c r="K165" i="13" s="1"/>
  <c r="H165" i="13"/>
  <c r="I164" i="13"/>
  <c r="H164" i="13"/>
  <c r="I162" i="13"/>
  <c r="N216" i="13" s="1"/>
  <c r="H162" i="13"/>
  <c r="I160" i="13"/>
  <c r="K160" i="13" s="1"/>
  <c r="H160" i="13"/>
  <c r="I158" i="13"/>
  <c r="N210" i="13" s="1"/>
  <c r="H158" i="13"/>
  <c r="I151" i="13"/>
  <c r="M214" i="13" s="1"/>
  <c r="H151" i="13"/>
  <c r="I149" i="13"/>
  <c r="K149" i="13" s="1"/>
  <c r="H149" i="13"/>
  <c r="I148" i="13"/>
  <c r="K148" i="13" s="1"/>
  <c r="H148" i="13"/>
  <c r="I147" i="13"/>
  <c r="K147" i="13" s="1"/>
  <c r="H147" i="13"/>
  <c r="I145" i="13"/>
  <c r="M216" i="13" s="1"/>
  <c r="H145" i="13"/>
  <c r="I143" i="13"/>
  <c r="M215" i="13" s="1"/>
  <c r="H143" i="13"/>
  <c r="I141" i="13"/>
  <c r="M210" i="13" s="1"/>
  <c r="H141" i="13"/>
  <c r="I134" i="13"/>
  <c r="K134" i="13" s="1"/>
  <c r="H134" i="13"/>
  <c r="I132" i="13"/>
  <c r="H132" i="13"/>
  <c r="I131" i="13"/>
  <c r="K131" i="13" s="1"/>
  <c r="H131" i="13"/>
  <c r="I130" i="13"/>
  <c r="K130" i="13" s="1"/>
  <c r="H130" i="13"/>
  <c r="I128" i="13"/>
  <c r="K128" i="13" s="1"/>
  <c r="H128" i="13"/>
  <c r="I126" i="13"/>
  <c r="H126" i="13"/>
  <c r="I124" i="13"/>
  <c r="K124" i="13" s="1"/>
  <c r="H124" i="13"/>
  <c r="I117" i="13"/>
  <c r="K214" i="13" s="1"/>
  <c r="H117" i="13"/>
  <c r="I115" i="13"/>
  <c r="K115" i="13" s="1"/>
  <c r="H115" i="13"/>
  <c r="I114" i="13"/>
  <c r="H114" i="13"/>
  <c r="I113" i="13"/>
  <c r="K211" i="13" s="1"/>
  <c r="H113" i="13"/>
  <c r="I111" i="13"/>
  <c r="K216" i="13" s="1"/>
  <c r="H111" i="13"/>
  <c r="I109" i="13"/>
  <c r="K215" i="13" s="1"/>
  <c r="H109" i="13"/>
  <c r="I107" i="13"/>
  <c r="K210" i="13" s="1"/>
  <c r="H107" i="13"/>
  <c r="K107" i="13" s="1"/>
  <c r="I100" i="13"/>
  <c r="J214" i="13" s="1"/>
  <c r="H100" i="13"/>
  <c r="I98" i="13"/>
  <c r="K98" i="13" s="1"/>
  <c r="H98" i="13"/>
  <c r="I97" i="13"/>
  <c r="K97" i="13" s="1"/>
  <c r="H97" i="13"/>
  <c r="I96" i="13"/>
  <c r="H96" i="13"/>
  <c r="I94" i="13"/>
  <c r="J216" i="13" s="1"/>
  <c r="H94" i="13"/>
  <c r="I92" i="13"/>
  <c r="J215" i="13" s="1"/>
  <c r="H92" i="13"/>
  <c r="I90" i="13"/>
  <c r="J210" i="13" s="1"/>
  <c r="H90" i="13"/>
  <c r="I83" i="13"/>
  <c r="I214" i="13" s="1"/>
  <c r="H83" i="13"/>
  <c r="I81" i="13"/>
  <c r="K81" i="13" s="1"/>
  <c r="H81" i="13"/>
  <c r="I80" i="13"/>
  <c r="K80" i="13" s="1"/>
  <c r="H80" i="13"/>
  <c r="I79" i="13"/>
  <c r="K79" i="13" s="1"/>
  <c r="H79" i="13"/>
  <c r="I77" i="13"/>
  <c r="H77" i="13"/>
  <c r="I75" i="13"/>
  <c r="I215" i="13" s="1"/>
  <c r="H75" i="13"/>
  <c r="I73" i="13"/>
  <c r="H73" i="13"/>
  <c r="I66" i="13"/>
  <c r="K66" i="13" s="1"/>
  <c r="H66" i="13"/>
  <c r="I64" i="13"/>
  <c r="H213" i="13" s="1"/>
  <c r="H64" i="13"/>
  <c r="I63" i="13"/>
  <c r="H212" i="13" s="1"/>
  <c r="H63" i="13"/>
  <c r="I62" i="13"/>
  <c r="H211" i="13" s="1"/>
  <c r="H62" i="13"/>
  <c r="I60" i="13"/>
  <c r="H216" i="13" s="1"/>
  <c r="H60" i="13"/>
  <c r="I58" i="13"/>
  <c r="H58" i="13"/>
  <c r="I56" i="13"/>
  <c r="H210" i="13" s="1"/>
  <c r="H56" i="13"/>
  <c r="I49" i="13"/>
  <c r="G214" i="13" s="1"/>
  <c r="H49" i="13"/>
  <c r="I47" i="13"/>
  <c r="G213" i="13" s="1"/>
  <c r="H47" i="13"/>
  <c r="I46" i="13"/>
  <c r="G212" i="13" s="1"/>
  <c r="H46" i="13"/>
  <c r="I45" i="13"/>
  <c r="G211" i="13" s="1"/>
  <c r="H45" i="13"/>
  <c r="I43" i="13"/>
  <c r="K43" i="13" s="1"/>
  <c r="H43" i="13"/>
  <c r="I41" i="13"/>
  <c r="K41" i="13" s="1"/>
  <c r="H41" i="13"/>
  <c r="I39" i="13"/>
  <c r="G210" i="13" s="1"/>
  <c r="H39" i="13"/>
  <c r="I31" i="13"/>
  <c r="F214" i="13" s="1"/>
  <c r="H31" i="13"/>
  <c r="I29" i="13"/>
  <c r="K29" i="13" s="1"/>
  <c r="H29" i="13"/>
  <c r="I28" i="13"/>
  <c r="K28" i="13" s="1"/>
  <c r="H28" i="13"/>
  <c r="I27" i="13"/>
  <c r="H27" i="13"/>
  <c r="I25" i="13"/>
  <c r="K25" i="13" s="1"/>
  <c r="H25" i="13"/>
  <c r="I23" i="13"/>
  <c r="H23" i="13"/>
  <c r="F215" i="13" s="1"/>
  <c r="I21" i="13"/>
  <c r="F210" i="13" s="1"/>
  <c r="H21" i="13"/>
  <c r="I14" i="13"/>
  <c r="H14" i="13"/>
  <c r="I12" i="13"/>
  <c r="K12" i="13" s="1"/>
  <c r="H12" i="13"/>
  <c r="I11" i="13"/>
  <c r="K11" i="13" s="1"/>
  <c r="H11" i="13"/>
  <c r="I10" i="13"/>
  <c r="K10" i="13" s="1"/>
  <c r="H10" i="13"/>
  <c r="I8" i="13"/>
  <c r="H8" i="13"/>
  <c r="I6" i="13"/>
  <c r="K6" i="13" s="1"/>
  <c r="H6" i="13"/>
  <c r="I4" i="13"/>
  <c r="H4" i="13"/>
  <c r="K202" i="13"/>
  <c r="K185" i="13"/>
  <c r="K162" i="13"/>
  <c r="K151" i="13"/>
  <c r="K141" i="13"/>
  <c r="K117" i="13"/>
  <c r="K111" i="13"/>
  <c r="K109" i="13"/>
  <c r="K94" i="13"/>
  <c r="K92" i="13"/>
  <c r="K83" i="13"/>
  <c r="K64" i="13"/>
  <c r="K62" i="13"/>
  <c r="K56" i="13"/>
  <c r="K49" i="13"/>
  <c r="K46" i="13"/>
  <c r="F213" i="13"/>
  <c r="K23" i="13"/>
  <c r="E212" i="13"/>
  <c r="F205" i="13"/>
  <c r="E205" i="13"/>
  <c r="H205" i="13" s="1"/>
  <c r="D205" i="13"/>
  <c r="F188" i="13"/>
  <c r="E188" i="13"/>
  <c r="D188" i="13"/>
  <c r="I188" i="13" s="1"/>
  <c r="F171" i="13"/>
  <c r="E171" i="13"/>
  <c r="H171" i="13" s="1"/>
  <c r="D171" i="13"/>
  <c r="F154" i="13"/>
  <c r="E154" i="13"/>
  <c r="D154" i="13"/>
  <c r="I154" i="13" s="1"/>
  <c r="F137" i="13"/>
  <c r="E137" i="13"/>
  <c r="H137" i="13" s="1"/>
  <c r="D137" i="13"/>
  <c r="F120" i="13"/>
  <c r="E120" i="13"/>
  <c r="H120" i="13" s="1"/>
  <c r="D120" i="13"/>
  <c r="I120" i="13" s="1"/>
  <c r="F103" i="13"/>
  <c r="E103" i="13"/>
  <c r="H103" i="13" s="1"/>
  <c r="D103" i="13"/>
  <c r="F86" i="13"/>
  <c r="E86" i="13"/>
  <c r="D86" i="13"/>
  <c r="I86" i="13" s="1"/>
  <c r="F69" i="13"/>
  <c r="E69" i="13"/>
  <c r="H69" i="13" s="1"/>
  <c r="D69" i="13"/>
  <c r="F52" i="13"/>
  <c r="E52" i="13"/>
  <c r="D52" i="13"/>
  <c r="I52" i="13" s="1"/>
  <c r="F17" i="13"/>
  <c r="E17" i="13"/>
  <c r="I17" i="13" s="1"/>
  <c r="F34" i="13"/>
  <c r="E34" i="13"/>
  <c r="H34" i="13" s="1"/>
  <c r="D34" i="13"/>
  <c r="G215" i="12"/>
  <c r="E210" i="13"/>
  <c r="K253" i="13"/>
  <c r="J253" i="13"/>
  <c r="I253" i="13"/>
  <c r="H253" i="13"/>
  <c r="G253" i="13"/>
  <c r="F253" i="13"/>
  <c r="E253" i="13"/>
  <c r="C247" i="13"/>
  <c r="F248" i="13" s="1"/>
  <c r="F250" i="13" s="1"/>
  <c r="J248" i="13"/>
  <c r="J250" i="13" s="1"/>
  <c r="K90" i="13" l="1"/>
  <c r="F212" i="13"/>
  <c r="K60" i="13"/>
  <c r="K8" i="13"/>
  <c r="F211" i="13"/>
  <c r="K58" i="13"/>
  <c r="K77" i="13"/>
  <c r="K96" i="13"/>
  <c r="K114" i="13"/>
  <c r="K126" i="13"/>
  <c r="K132" i="13"/>
  <c r="K164" i="13"/>
  <c r="K182" i="13"/>
  <c r="K100" i="13"/>
  <c r="E215" i="13"/>
  <c r="H86" i="13"/>
  <c r="I137" i="13"/>
  <c r="E211" i="13"/>
  <c r="K45" i="13"/>
  <c r="K75" i="13"/>
  <c r="H52" i="13"/>
  <c r="I103" i="13"/>
  <c r="J209" i="13" s="1"/>
  <c r="H188" i="13"/>
  <c r="E213" i="13"/>
  <c r="K47" i="13"/>
  <c r="K143" i="13"/>
  <c r="K63" i="13"/>
  <c r="K158" i="13"/>
  <c r="K192" i="13"/>
  <c r="I69" i="13"/>
  <c r="H154" i="13"/>
  <c r="K39" i="13"/>
  <c r="K113" i="13"/>
  <c r="K145" i="13"/>
  <c r="K177" i="13"/>
  <c r="E209" i="13"/>
  <c r="K52" i="13"/>
  <c r="G209" i="13"/>
  <c r="K86" i="13"/>
  <c r="I209" i="13"/>
  <c r="K69" i="13"/>
  <c r="H209" i="13"/>
  <c r="K103" i="13"/>
  <c r="K137" i="13"/>
  <c r="L209" i="13"/>
  <c r="I257" i="13"/>
  <c r="I261" i="13"/>
  <c r="I263" i="13"/>
  <c r="I259" i="13"/>
  <c r="O209" i="13"/>
  <c r="H17" i="13"/>
  <c r="K17" i="13" s="1"/>
  <c r="E257" i="13"/>
  <c r="E261" i="13"/>
  <c r="E263" i="13"/>
  <c r="E259" i="13"/>
  <c r="G263" i="13"/>
  <c r="G259" i="13"/>
  <c r="G261" i="13"/>
  <c r="G257" i="13"/>
  <c r="K261" i="13"/>
  <c r="K263" i="13"/>
  <c r="K259" i="13"/>
  <c r="K120" i="13"/>
  <c r="K209" i="13"/>
  <c r="M209" i="13"/>
  <c r="I34" i="13"/>
  <c r="I248" i="13"/>
  <c r="I250" i="13" s="1"/>
  <c r="E248" i="13"/>
  <c r="E250" i="13" s="1"/>
  <c r="F263" i="13"/>
  <c r="F259" i="13"/>
  <c r="F261" i="13"/>
  <c r="F257" i="13"/>
  <c r="H261" i="13"/>
  <c r="H257" i="13"/>
  <c r="H263" i="13"/>
  <c r="H259" i="13"/>
  <c r="J261" i="13"/>
  <c r="J257" i="13"/>
  <c r="J259" i="13"/>
  <c r="J263" i="13"/>
  <c r="I171" i="13"/>
  <c r="I205" i="13"/>
  <c r="E216" i="13"/>
  <c r="K21" i="13"/>
  <c r="F216" i="13"/>
  <c r="K27" i="13"/>
  <c r="K31" i="13"/>
  <c r="G215" i="13"/>
  <c r="H214" i="13"/>
  <c r="I213" i="13"/>
  <c r="I211" i="13"/>
  <c r="J213" i="13"/>
  <c r="J211" i="13"/>
  <c r="K213" i="13"/>
  <c r="L215" i="13"/>
  <c r="L213" i="13"/>
  <c r="L211" i="13"/>
  <c r="M213" i="13"/>
  <c r="M211" i="13"/>
  <c r="N215" i="13"/>
  <c r="N213" i="13"/>
  <c r="N211" i="13"/>
  <c r="O211" i="13"/>
  <c r="D248" i="13"/>
  <c r="D250" i="13" s="1"/>
  <c r="D259" i="13"/>
  <c r="D261" i="13"/>
  <c r="K4" i="13"/>
  <c r="E214" i="13"/>
  <c r="K14" i="13"/>
  <c r="K183" i="13"/>
  <c r="K194" i="13"/>
  <c r="K196" i="13"/>
  <c r="K198" i="13"/>
  <c r="K199" i="13"/>
  <c r="K200" i="13"/>
  <c r="G216" i="13"/>
  <c r="H215" i="13"/>
  <c r="I216" i="13"/>
  <c r="I212" i="13"/>
  <c r="I210" i="13"/>
  <c r="J212" i="13"/>
  <c r="K212" i="13"/>
  <c r="L216" i="13"/>
  <c r="L214" i="13"/>
  <c r="L212" i="13"/>
  <c r="L210" i="13"/>
  <c r="M212" i="13"/>
  <c r="N214" i="13"/>
  <c r="N212" i="13"/>
  <c r="O216" i="13"/>
  <c r="O212" i="13"/>
  <c r="P216" i="13"/>
  <c r="P212" i="13"/>
  <c r="K248" i="13"/>
  <c r="K250" i="13" s="1"/>
  <c r="G248" i="13"/>
  <c r="G250" i="13" s="1"/>
  <c r="D257" i="13"/>
  <c r="K73" i="13"/>
  <c r="E252" i="12"/>
  <c r="F252" i="12"/>
  <c r="F256" i="12" s="1"/>
  <c r="G252" i="12"/>
  <c r="G256" i="12" s="1"/>
  <c r="H252" i="12"/>
  <c r="H262" i="12" s="1"/>
  <c r="I252" i="12"/>
  <c r="I256" i="12" s="1"/>
  <c r="J252" i="12"/>
  <c r="K252" i="12"/>
  <c r="D252" i="12"/>
  <c r="D258" i="12" s="1"/>
  <c r="D208" i="12"/>
  <c r="K154" i="13" l="1"/>
  <c r="D262" i="12"/>
  <c r="K188" i="13"/>
  <c r="K205" i="13"/>
  <c r="P209" i="13"/>
  <c r="K34" i="13"/>
  <c r="F209" i="13"/>
  <c r="K171" i="13"/>
  <c r="N209" i="13"/>
  <c r="D260" i="12"/>
  <c r="D256" i="12"/>
  <c r="J258" i="12"/>
  <c r="J262" i="12"/>
  <c r="J256" i="12"/>
  <c r="J260" i="12"/>
  <c r="F262" i="12"/>
  <c r="F258" i="12"/>
  <c r="G262" i="12"/>
  <c r="G258" i="12"/>
  <c r="H256" i="12"/>
  <c r="H260" i="12"/>
  <c r="I262" i="12"/>
  <c r="I258" i="12"/>
  <c r="K258" i="12"/>
  <c r="K262" i="12"/>
  <c r="K256" i="12"/>
  <c r="K260" i="12"/>
  <c r="F260" i="12"/>
  <c r="G260" i="12"/>
  <c r="H258" i="12"/>
  <c r="I260" i="12"/>
  <c r="D243" i="12"/>
  <c r="E243" i="12"/>
  <c r="F243" i="12"/>
  <c r="G243" i="12"/>
  <c r="H243" i="12"/>
  <c r="I243" i="12"/>
  <c r="J243" i="12"/>
  <c r="K243" i="12"/>
  <c r="B246" i="12"/>
  <c r="C247" i="12" s="1"/>
  <c r="J247" i="12" l="1"/>
  <c r="J249" i="12" s="1"/>
  <c r="F247" i="12"/>
  <c r="F249" i="12" s="1"/>
  <c r="H247" i="12"/>
  <c r="H249" i="12" s="1"/>
  <c r="D247" i="12"/>
  <c r="D249" i="12" s="1"/>
  <c r="K247" i="12"/>
  <c r="K249" i="12" s="1"/>
  <c r="I247" i="12"/>
  <c r="I249" i="12" s="1"/>
  <c r="G247" i="12"/>
  <c r="G249" i="12" s="1"/>
  <c r="E247" i="12"/>
  <c r="E249" i="12" s="1"/>
  <c r="O209" i="12"/>
  <c r="O210" i="12"/>
  <c r="O211" i="12"/>
  <c r="O212" i="12"/>
  <c r="O213" i="12"/>
  <c r="O214" i="12"/>
  <c r="O215" i="12"/>
  <c r="O216" i="12"/>
  <c r="O208" i="12"/>
  <c r="N209" i="12"/>
  <c r="N210" i="12"/>
  <c r="N211" i="12"/>
  <c r="N212" i="12"/>
  <c r="N213" i="12"/>
  <c r="N214" i="12"/>
  <c r="N215" i="12"/>
  <c r="N216" i="12"/>
  <c r="N208" i="12"/>
  <c r="M209" i="12"/>
  <c r="M210" i="12"/>
  <c r="M211" i="12"/>
  <c r="M212" i="12"/>
  <c r="M213" i="12"/>
  <c r="M214" i="12"/>
  <c r="M215" i="12"/>
  <c r="M216" i="12"/>
  <c r="M208" i="12"/>
  <c r="L209" i="12"/>
  <c r="L210" i="12"/>
  <c r="L211" i="12"/>
  <c r="L212" i="12"/>
  <c r="L213" i="12"/>
  <c r="L214" i="12"/>
  <c r="L215" i="12"/>
  <c r="L216" i="12"/>
  <c r="L208" i="12"/>
  <c r="K209" i="12"/>
  <c r="K210" i="12"/>
  <c r="K211" i="12"/>
  <c r="K212" i="12"/>
  <c r="K213" i="12"/>
  <c r="K214" i="12"/>
  <c r="K215" i="12"/>
  <c r="K216" i="12"/>
  <c r="K208" i="12"/>
  <c r="J216" i="12"/>
  <c r="J215" i="12"/>
  <c r="J214" i="12"/>
  <c r="J213" i="12"/>
  <c r="J212" i="12"/>
  <c r="J211" i="12"/>
  <c r="J210" i="12"/>
  <c r="J209" i="12"/>
  <c r="J208" i="12"/>
  <c r="I209" i="12"/>
  <c r="I210" i="12"/>
  <c r="I211" i="12"/>
  <c r="I212" i="12"/>
  <c r="I213" i="12"/>
  <c r="I214" i="12"/>
  <c r="I215" i="12"/>
  <c r="I216" i="12"/>
  <c r="I208" i="12"/>
  <c r="H209" i="12"/>
  <c r="H210" i="12"/>
  <c r="H211" i="12"/>
  <c r="H212" i="12"/>
  <c r="H213" i="12"/>
  <c r="H214" i="12"/>
  <c r="H215" i="12"/>
  <c r="H216" i="12"/>
  <c r="H208" i="12"/>
  <c r="G209" i="12"/>
  <c r="G210" i="12"/>
  <c r="G211" i="12"/>
  <c r="G212" i="12"/>
  <c r="G213" i="12"/>
  <c r="G214" i="12"/>
  <c r="G216" i="12"/>
  <c r="G208" i="12"/>
  <c r="F209" i="12"/>
  <c r="F210" i="12"/>
  <c r="F211" i="12"/>
  <c r="F212" i="12"/>
  <c r="F213" i="12"/>
  <c r="F214" i="12"/>
  <c r="F215" i="12"/>
  <c r="F216" i="12"/>
  <c r="F208" i="12"/>
  <c r="E209" i="12"/>
  <c r="E210" i="12"/>
  <c r="E211" i="12"/>
  <c r="E212" i="12"/>
  <c r="E213" i="12"/>
  <c r="E214" i="12"/>
  <c r="E215" i="12"/>
  <c r="E216" i="12"/>
  <c r="E208" i="12"/>
  <c r="D209" i="12"/>
  <c r="D210" i="12"/>
  <c r="D211" i="12"/>
  <c r="D212" i="12"/>
  <c r="D213" i="12"/>
  <c r="D214" i="12"/>
  <c r="D215" i="12"/>
  <c r="D216" i="12"/>
  <c r="F10" i="11" l="1"/>
  <c r="E10" i="11"/>
  <c r="D10" i="11"/>
  <c r="H9" i="11"/>
  <c r="F9" i="11"/>
  <c r="E9" i="11"/>
  <c r="D9" i="11"/>
  <c r="D19" i="11" s="1"/>
  <c r="C9" i="11"/>
  <c r="H8" i="11"/>
  <c r="G8" i="11"/>
  <c r="E8" i="11"/>
  <c r="D8" i="11"/>
  <c r="C8" i="11"/>
  <c r="B8" i="11"/>
  <c r="F7" i="11"/>
  <c r="D7" i="11"/>
  <c r="H6" i="11"/>
  <c r="G6" i="11"/>
  <c r="F6" i="11"/>
  <c r="H5" i="11"/>
  <c r="G5" i="11"/>
  <c r="F5" i="11"/>
  <c r="E5" i="11"/>
  <c r="D5" i="11"/>
  <c r="D15" i="11" s="1"/>
  <c r="B5" i="11"/>
  <c r="H4" i="11"/>
  <c r="G4" i="11"/>
  <c r="E4" i="11"/>
  <c r="D4" i="11"/>
  <c r="D11" i="11" s="1"/>
  <c r="C4" i="11"/>
  <c r="R53" i="11"/>
  <c r="G10" i="11" s="1"/>
  <c r="R52" i="11"/>
  <c r="S49" i="11"/>
  <c r="C10" i="11" s="1"/>
  <c r="R48" i="11"/>
  <c r="B10" i="11" s="1"/>
  <c r="R45" i="11"/>
  <c r="S42" i="11"/>
  <c r="R41" i="11"/>
  <c r="B9" i="11" s="1"/>
  <c r="R32" i="11"/>
  <c r="H7" i="11" s="1"/>
  <c r="R31" i="11"/>
  <c r="G7" i="11" s="1"/>
  <c r="S30" i="11"/>
  <c r="S28" i="11"/>
  <c r="C7" i="11" s="1"/>
  <c r="S27" i="11"/>
  <c r="B7" i="11" s="1"/>
  <c r="R25" i="11"/>
  <c r="R24" i="11"/>
  <c r="S23" i="11"/>
  <c r="S22" i="11"/>
  <c r="E6" i="11" s="1"/>
  <c r="S21" i="11"/>
  <c r="C6" i="11" s="1"/>
  <c r="R20" i="11"/>
  <c r="B6" i="11" s="1"/>
  <c r="S9" i="11"/>
  <c r="F4" i="11" s="1"/>
  <c r="S6" i="11"/>
  <c r="U4" i="11"/>
  <c r="T4" i="11"/>
  <c r="S4" i="11"/>
  <c r="R4" i="11"/>
  <c r="G15" i="10"/>
  <c r="G12" i="10"/>
  <c r="G20" i="10" s="1"/>
  <c r="H11" i="10"/>
  <c r="G11" i="10"/>
  <c r="G22" i="10" s="1"/>
  <c r="B11" i="10"/>
  <c r="I10" i="10"/>
  <c r="G10" i="10"/>
  <c r="G21" i="10" s="1"/>
  <c r="I8" i="10"/>
  <c r="H8" i="10"/>
  <c r="G8" i="10"/>
  <c r="E8" i="10"/>
  <c r="D8" i="10"/>
  <c r="I7" i="10"/>
  <c r="H7" i="10"/>
  <c r="G7" i="10"/>
  <c r="F7" i="10"/>
  <c r="D7" i="10"/>
  <c r="I6" i="10"/>
  <c r="H6" i="10"/>
  <c r="G6" i="10"/>
  <c r="G17" i="10" s="1"/>
  <c r="F6" i="10"/>
  <c r="E6" i="10"/>
  <c r="C6" i="10"/>
  <c r="I5" i="10"/>
  <c r="H5" i="10"/>
  <c r="G5" i="10"/>
  <c r="G16" i="10" s="1"/>
  <c r="F5" i="10"/>
  <c r="E5" i="10"/>
  <c r="D5" i="10"/>
  <c r="B5" i="10"/>
  <c r="I4" i="10"/>
  <c r="H4" i="10"/>
  <c r="G4" i="10"/>
  <c r="F4" i="10"/>
  <c r="E4" i="10"/>
  <c r="D4" i="10"/>
  <c r="C4" i="10"/>
  <c r="F11" i="11" l="1"/>
  <c r="F14" i="11"/>
  <c r="G11" i="11"/>
  <c r="H11" i="11"/>
  <c r="B19" i="11"/>
  <c r="H15" i="11"/>
  <c r="D18" i="11"/>
  <c r="H14" i="11"/>
  <c r="C17" i="11"/>
  <c r="H16" i="11"/>
  <c r="B11" i="11"/>
  <c r="B16" i="11"/>
  <c r="F17" i="11"/>
  <c r="D16" i="11"/>
  <c r="D17" i="11"/>
  <c r="D14" i="11"/>
  <c r="H12" i="10"/>
  <c r="F16" i="11"/>
  <c r="D20" i="11"/>
  <c r="C11" i="11"/>
  <c r="C15" i="11" s="1"/>
  <c r="G19" i="10"/>
  <c r="E11" i="11"/>
  <c r="E14" i="11" s="1"/>
  <c r="G18" i="10"/>
  <c r="G23" i="10" s="1"/>
  <c r="S73" i="10"/>
  <c r="F11" i="10" s="1"/>
  <c r="S72" i="10"/>
  <c r="E11" i="10" s="1"/>
  <c r="S71" i="10"/>
  <c r="D11" i="10" s="1"/>
  <c r="T70" i="10"/>
  <c r="C11" i="10" s="1"/>
  <c r="S64" i="10"/>
  <c r="F10" i="10" s="1"/>
  <c r="S63" i="10"/>
  <c r="E10" i="10" s="1"/>
  <c r="S62" i="10"/>
  <c r="D10" i="10" s="1"/>
  <c r="S61" i="10"/>
  <c r="C10" i="10" s="1"/>
  <c r="S60" i="10"/>
  <c r="B10" i="10" s="1"/>
  <c r="S57" i="10"/>
  <c r="I9" i="10" s="1"/>
  <c r="S56" i="10"/>
  <c r="H9" i="10" s="1"/>
  <c r="S55" i="10"/>
  <c r="F9" i="10" s="1"/>
  <c r="S54" i="10"/>
  <c r="E9" i="10" s="1"/>
  <c r="S53" i="10"/>
  <c r="D9" i="10" s="1"/>
  <c r="S52" i="10"/>
  <c r="C9" i="10" s="1"/>
  <c r="S51" i="10"/>
  <c r="B9" i="10" s="1"/>
  <c r="S43" i="10"/>
  <c r="C8" i="10" s="1"/>
  <c r="S42" i="10"/>
  <c r="B8" i="10" s="1"/>
  <c r="S34" i="10"/>
  <c r="C7" i="10" s="1"/>
  <c r="C12" i="10" s="1"/>
  <c r="S33" i="10"/>
  <c r="B7" i="10" s="1"/>
  <c r="S24" i="10"/>
  <c r="B6" i="10" s="1"/>
  <c r="V4" i="10"/>
  <c r="U4" i="10"/>
  <c r="T4" i="10"/>
  <c r="S4" i="10"/>
  <c r="I13" i="9"/>
  <c r="G13" i="9"/>
  <c r="F13" i="9"/>
  <c r="E13" i="9"/>
  <c r="D13" i="9"/>
  <c r="C13" i="9"/>
  <c r="F12" i="9"/>
  <c r="E12" i="9"/>
  <c r="D12" i="9"/>
  <c r="C12" i="9"/>
  <c r="J11" i="9"/>
  <c r="I11" i="9"/>
  <c r="G11" i="9"/>
  <c r="F11" i="9"/>
  <c r="E11" i="9"/>
  <c r="D11" i="9"/>
  <c r="C11" i="9"/>
  <c r="J10" i="9"/>
  <c r="I10" i="9"/>
  <c r="H10" i="9"/>
  <c r="F10" i="9"/>
  <c r="E10" i="9"/>
  <c r="D10" i="9"/>
  <c r="C10" i="9"/>
  <c r="I9" i="9"/>
  <c r="E9" i="9"/>
  <c r="D9" i="9"/>
  <c r="C9" i="9"/>
  <c r="B9" i="9"/>
  <c r="J8" i="9"/>
  <c r="I8" i="9"/>
  <c r="H8" i="9"/>
  <c r="G8" i="9"/>
  <c r="F8" i="9"/>
  <c r="D8" i="9"/>
  <c r="C8" i="9"/>
  <c r="B8" i="9"/>
  <c r="C7" i="9"/>
  <c r="J6" i="9"/>
  <c r="H6" i="9"/>
  <c r="F6" i="9"/>
  <c r="F14" i="9" s="1"/>
  <c r="E6" i="9"/>
  <c r="D6" i="9"/>
  <c r="S108" i="9"/>
  <c r="H13" i="9" s="1"/>
  <c r="S107" i="9"/>
  <c r="S102" i="9"/>
  <c r="B13" i="9" s="1"/>
  <c r="S97" i="9"/>
  <c r="J12" i="9" s="1"/>
  <c r="S96" i="9"/>
  <c r="H12" i="9" s="1"/>
  <c r="S95" i="9"/>
  <c r="G12" i="9" s="1"/>
  <c r="S91" i="9"/>
  <c r="S90" i="9"/>
  <c r="B12" i="9" s="1"/>
  <c r="S78" i="9"/>
  <c r="B11" i="9" s="1"/>
  <c r="S66" i="9"/>
  <c r="B10" i="9" s="1"/>
  <c r="S61" i="9"/>
  <c r="J9" i="9" s="1"/>
  <c r="S60" i="9"/>
  <c r="S59" i="9"/>
  <c r="H9" i="9" s="1"/>
  <c r="S58" i="9"/>
  <c r="G9" i="9" s="1"/>
  <c r="S49" i="9"/>
  <c r="S48" i="9"/>
  <c r="S47" i="9"/>
  <c r="S46" i="9"/>
  <c r="T37" i="9"/>
  <c r="J7" i="9" s="1"/>
  <c r="T36" i="9"/>
  <c r="I7" i="9" s="1"/>
  <c r="T35" i="9"/>
  <c r="H7" i="9" s="1"/>
  <c r="T34" i="9"/>
  <c r="G7" i="9" s="1"/>
  <c r="T33" i="9"/>
  <c r="F7" i="9" s="1"/>
  <c r="T32" i="9"/>
  <c r="E7" i="9" s="1"/>
  <c r="T30" i="9"/>
  <c r="B7" i="9" s="1"/>
  <c r="T25" i="9"/>
  <c r="T24" i="9"/>
  <c r="I6" i="9" s="1"/>
  <c r="T23" i="9"/>
  <c r="T22" i="9"/>
  <c r="G6" i="9" s="1"/>
  <c r="T18" i="9"/>
  <c r="B6" i="9" s="1"/>
  <c r="V4" i="9"/>
  <c r="U4" i="9"/>
  <c r="T4" i="9"/>
  <c r="S4" i="9"/>
  <c r="F20" i="9" l="1"/>
  <c r="F21" i="9"/>
  <c r="F17" i="9"/>
  <c r="C25" i="9"/>
  <c r="C20" i="9"/>
  <c r="C21" i="9"/>
  <c r="F22" i="9"/>
  <c r="G23" i="9"/>
  <c r="H22" i="9"/>
  <c r="I23" i="9"/>
  <c r="F19" i="9"/>
  <c r="F25" i="9"/>
  <c r="B14" i="9"/>
  <c r="B19" i="9" s="1"/>
  <c r="G24" i="9"/>
  <c r="G20" i="9"/>
  <c r="F18" i="9"/>
  <c r="G14" i="9"/>
  <c r="G19" i="9" s="1"/>
  <c r="H21" i="9"/>
  <c r="H24" i="9"/>
  <c r="H18" i="9"/>
  <c r="J21" i="9"/>
  <c r="B25" i="9"/>
  <c r="F24" i="9"/>
  <c r="F23" i="9"/>
  <c r="D18" i="9"/>
  <c r="C16" i="10"/>
  <c r="C15" i="10"/>
  <c r="C23" i="10" s="1"/>
  <c r="C17" i="10"/>
  <c r="H21" i="10"/>
  <c r="H19" i="10"/>
  <c r="H16" i="10"/>
  <c r="G19" i="11"/>
  <c r="G18" i="11"/>
  <c r="G15" i="11"/>
  <c r="C14" i="9"/>
  <c r="I20" i="10"/>
  <c r="E22" i="10"/>
  <c r="E19" i="11"/>
  <c r="B26" i="11"/>
  <c r="H20" i="11"/>
  <c r="H21" i="11" s="1"/>
  <c r="H19" i="11"/>
  <c r="H18" i="11"/>
  <c r="D14" i="9"/>
  <c r="D21" i="9" s="1"/>
  <c r="C19" i="10"/>
  <c r="F22" i="10"/>
  <c r="C14" i="11"/>
  <c r="C21" i="11" s="1"/>
  <c r="B14" i="11"/>
  <c r="B15" i="11"/>
  <c r="B17" i="11"/>
  <c r="H17" i="11"/>
  <c r="F19" i="11"/>
  <c r="F18" i="11"/>
  <c r="E14" i="9"/>
  <c r="C21" i="10"/>
  <c r="H18" i="10"/>
  <c r="E16" i="11"/>
  <c r="F20" i="11"/>
  <c r="C18" i="11"/>
  <c r="B29" i="11"/>
  <c r="D20" i="10"/>
  <c r="G14" i="11"/>
  <c r="G20" i="11"/>
  <c r="H22" i="10"/>
  <c r="G16" i="11"/>
  <c r="C20" i="10"/>
  <c r="H15" i="10"/>
  <c r="G18" i="9"/>
  <c r="E21" i="10"/>
  <c r="E20" i="11"/>
  <c r="H14" i="9"/>
  <c r="F21" i="10"/>
  <c r="D21" i="11"/>
  <c r="C16" i="11"/>
  <c r="I14" i="9"/>
  <c r="I25" i="9" s="1"/>
  <c r="F20" i="10"/>
  <c r="F12" i="10"/>
  <c r="C22" i="10"/>
  <c r="H17" i="10"/>
  <c r="B18" i="11"/>
  <c r="C19" i="11"/>
  <c r="B20" i="11"/>
  <c r="E17" i="11"/>
  <c r="E15" i="11"/>
  <c r="E21" i="11" s="1"/>
  <c r="E18" i="11"/>
  <c r="G17" i="11"/>
  <c r="E20" i="10"/>
  <c r="J14" i="9"/>
  <c r="C18" i="10"/>
  <c r="H20" i="10"/>
  <c r="D22" i="10"/>
  <c r="B12" i="10"/>
  <c r="B19" i="10" s="1"/>
  <c r="I12" i="10"/>
  <c r="E12" i="10"/>
  <c r="F15" i="11"/>
  <c r="F21" i="11" s="1"/>
  <c r="C20" i="11"/>
  <c r="D12" i="10"/>
  <c r="D21" i="10" s="1"/>
  <c r="B18" i="10" l="1"/>
  <c r="E21" i="9"/>
  <c r="E23" i="9"/>
  <c r="E22" i="9"/>
  <c r="E24" i="9"/>
  <c r="E17" i="9"/>
  <c r="E20" i="9"/>
  <c r="E25" i="9"/>
  <c r="H23" i="10"/>
  <c r="J17" i="9"/>
  <c r="J20" i="9"/>
  <c r="J25" i="9"/>
  <c r="J22" i="9"/>
  <c r="B27" i="11"/>
  <c r="C27" i="11" s="1"/>
  <c r="J24" i="9"/>
  <c r="J23" i="9"/>
  <c r="B24" i="9"/>
  <c r="E15" i="10"/>
  <c r="E18" i="10"/>
  <c r="E16" i="10"/>
  <c r="E19" i="10"/>
  <c r="E17" i="10"/>
  <c r="H17" i="9"/>
  <c r="H23" i="9"/>
  <c r="H20" i="9"/>
  <c r="B25" i="11"/>
  <c r="I19" i="9"/>
  <c r="G25" i="9"/>
  <c r="I22" i="9"/>
  <c r="E19" i="9"/>
  <c r="I22" i="10"/>
  <c r="I17" i="10"/>
  <c r="I19" i="10"/>
  <c r="I21" i="10"/>
  <c r="I15" i="10"/>
  <c r="I16" i="10"/>
  <c r="I18" i="10"/>
  <c r="F19" i="10"/>
  <c r="F18" i="10"/>
  <c r="F15" i="10"/>
  <c r="F16" i="10"/>
  <c r="F17" i="10"/>
  <c r="G21" i="11"/>
  <c r="B24" i="11"/>
  <c r="B21" i="11"/>
  <c r="B33" i="11"/>
  <c r="C22" i="9"/>
  <c r="C18" i="9"/>
  <c r="C17" i="9"/>
  <c r="C23" i="9"/>
  <c r="C19" i="9"/>
  <c r="B31" i="9" s="1"/>
  <c r="C24" i="9"/>
  <c r="E18" i="9"/>
  <c r="D25" i="9"/>
  <c r="B37" i="9" s="1"/>
  <c r="F26" i="9"/>
  <c r="B15" i="10"/>
  <c r="B22" i="10"/>
  <c r="B16" i="10"/>
  <c r="B17" i="10"/>
  <c r="I17" i="9"/>
  <c r="I26" i="9" s="1"/>
  <c r="I20" i="9"/>
  <c r="I24" i="9"/>
  <c r="I21" i="9"/>
  <c r="J19" i="9"/>
  <c r="B17" i="9"/>
  <c r="B20" i="9"/>
  <c r="B21" i="9"/>
  <c r="B33" i="9" s="1"/>
  <c r="G21" i="9"/>
  <c r="B20" i="10"/>
  <c r="B31" i="10" s="1"/>
  <c r="B21" i="10"/>
  <c r="B32" i="10" s="1"/>
  <c r="D17" i="10"/>
  <c r="D18" i="10"/>
  <c r="D19" i="10"/>
  <c r="B30" i="10" s="1"/>
  <c r="D16" i="10"/>
  <c r="D15" i="10"/>
  <c r="B23" i="9"/>
  <c r="I18" i="9"/>
  <c r="H19" i="9"/>
  <c r="B18" i="9"/>
  <c r="B30" i="11"/>
  <c r="B28" i="11"/>
  <c r="D22" i="9"/>
  <c r="D17" i="9"/>
  <c r="D19" i="9"/>
  <c r="D23" i="9"/>
  <c r="D24" i="9"/>
  <c r="J18" i="9"/>
  <c r="G22" i="9"/>
  <c r="G17" i="9"/>
  <c r="G26" i="9" s="1"/>
  <c r="D20" i="9"/>
  <c r="H25" i="9"/>
  <c r="B22" i="9"/>
  <c r="D4" i="8"/>
  <c r="B4" i="8"/>
  <c r="D3" i="8"/>
  <c r="C3" i="8"/>
  <c r="M13" i="8"/>
  <c r="B5" i="8" s="1"/>
  <c r="M12" i="8"/>
  <c r="C5" i="8" s="1"/>
  <c r="M6" i="8"/>
  <c r="O4" i="8"/>
  <c r="N4" i="8"/>
  <c r="M4" i="8"/>
  <c r="L4" i="8"/>
  <c r="I53" i="5"/>
  <c r="I52" i="5"/>
  <c r="J49" i="5"/>
  <c r="I48" i="5"/>
  <c r="I45" i="5"/>
  <c r="J42" i="5"/>
  <c r="I41" i="5"/>
  <c r="I32" i="5"/>
  <c r="I31" i="5"/>
  <c r="J30" i="5"/>
  <c r="J28" i="5"/>
  <c r="J27" i="5"/>
  <c r="I25" i="5"/>
  <c r="I24" i="5"/>
  <c r="J23" i="5"/>
  <c r="J22" i="5"/>
  <c r="J21" i="5"/>
  <c r="I20" i="5"/>
  <c r="J9" i="5"/>
  <c r="J6" i="5"/>
  <c r="J70" i="4"/>
  <c r="I73" i="4"/>
  <c r="I72" i="4"/>
  <c r="I71" i="4"/>
  <c r="I64" i="4"/>
  <c r="I63" i="4"/>
  <c r="I62" i="4"/>
  <c r="I61" i="4"/>
  <c r="I60" i="4"/>
  <c r="I57" i="4"/>
  <c r="I56" i="4"/>
  <c r="I55" i="4"/>
  <c r="I54" i="4"/>
  <c r="I53" i="4"/>
  <c r="I52" i="4"/>
  <c r="I51" i="4"/>
  <c r="I43" i="4"/>
  <c r="I42" i="4"/>
  <c r="I34" i="4"/>
  <c r="I33" i="4"/>
  <c r="I24" i="4"/>
  <c r="I108" i="3"/>
  <c r="I107" i="3"/>
  <c r="I102" i="3"/>
  <c r="I97" i="3"/>
  <c r="I96" i="3"/>
  <c r="I95" i="3"/>
  <c r="I91" i="3"/>
  <c r="I90" i="3"/>
  <c r="I78" i="3"/>
  <c r="I66" i="3"/>
  <c r="I61" i="3"/>
  <c r="I60" i="3"/>
  <c r="I59" i="3"/>
  <c r="I58" i="3"/>
  <c r="I49" i="3"/>
  <c r="I48" i="3"/>
  <c r="I47" i="3"/>
  <c r="I46" i="3"/>
  <c r="J37" i="3"/>
  <c r="J36" i="3"/>
  <c r="J35" i="3"/>
  <c r="J34" i="3"/>
  <c r="J33" i="3"/>
  <c r="J32" i="3"/>
  <c r="J30" i="3"/>
  <c r="J25" i="3"/>
  <c r="J24" i="3"/>
  <c r="J23" i="3"/>
  <c r="J22" i="3"/>
  <c r="J18" i="3"/>
  <c r="K19" i="7"/>
  <c r="K18" i="7"/>
  <c r="K12" i="7"/>
  <c r="B34" i="11" l="1"/>
  <c r="B35" i="11" s="1"/>
  <c r="B37" i="11" s="1"/>
  <c r="B31" i="11"/>
  <c r="C24" i="11"/>
  <c r="B30" i="9"/>
  <c r="I23" i="10"/>
  <c r="B33" i="10"/>
  <c r="C25" i="11"/>
  <c r="E23" i="10"/>
  <c r="J26" i="9"/>
  <c r="E26" i="9"/>
  <c r="B32" i="9"/>
  <c r="B28" i="10"/>
  <c r="B27" i="10"/>
  <c r="C26" i="11"/>
  <c r="C29" i="11"/>
  <c r="B26" i="10"/>
  <c r="C32" i="10" s="1"/>
  <c r="B23" i="10"/>
  <c r="C26" i="9"/>
  <c r="B36" i="9"/>
  <c r="B29" i="10"/>
  <c r="C30" i="11"/>
  <c r="B34" i="9"/>
  <c r="B35" i="9"/>
  <c r="C35" i="9" s="1"/>
  <c r="F23" i="10"/>
  <c r="C28" i="11"/>
  <c r="B29" i="9"/>
  <c r="C31" i="9" s="1"/>
  <c r="B26" i="9"/>
  <c r="D26" i="9"/>
  <c r="D23" i="10"/>
  <c r="H26" i="9"/>
  <c r="D6" i="8"/>
  <c r="D11" i="8" s="1"/>
  <c r="C6" i="8"/>
  <c r="C10" i="8" s="1"/>
  <c r="B6" i="8"/>
  <c r="B36" i="10" l="1"/>
  <c r="C34" i="9"/>
  <c r="C9" i="8"/>
  <c r="C29" i="10"/>
  <c r="C36" i="9"/>
  <c r="C27" i="10"/>
  <c r="D10" i="8"/>
  <c r="C33" i="9"/>
  <c r="C28" i="10"/>
  <c r="C30" i="9"/>
  <c r="C32" i="9"/>
  <c r="C31" i="11"/>
  <c r="B34" i="10"/>
  <c r="C26" i="10"/>
  <c r="B37" i="10"/>
  <c r="B38" i="10" s="1"/>
  <c r="B40" i="10" s="1"/>
  <c r="B9" i="8"/>
  <c r="B42" i="9"/>
  <c r="B43" i="9" s="1"/>
  <c r="B45" i="9" s="1"/>
  <c r="C29" i="9"/>
  <c r="B38" i="9"/>
  <c r="C37" i="9"/>
  <c r="C31" i="10"/>
  <c r="B41" i="9"/>
  <c r="C33" i="10"/>
  <c r="C30" i="10"/>
  <c r="D9" i="8"/>
  <c r="D12" i="8" s="1"/>
  <c r="B11" i="8"/>
  <c r="B10" i="8"/>
  <c r="B16" i="8" s="1"/>
  <c r="C11" i="8"/>
  <c r="C12" i="8" s="1"/>
  <c r="B15" i="8" l="1"/>
  <c r="C34" i="10"/>
  <c r="B17" i="8"/>
  <c r="C17" i="8" s="1"/>
  <c r="P58" i="1" s="1"/>
  <c r="C38" i="9"/>
  <c r="B12" i="8"/>
  <c r="C16" i="8" l="1"/>
  <c r="P40" i="1" s="1"/>
  <c r="B18" i="8"/>
  <c r="C15" i="8"/>
  <c r="B21" i="8"/>
  <c r="B22" i="8" s="1"/>
  <c r="B24" i="8" s="1"/>
  <c r="B20" i="8"/>
  <c r="M10" i="7"/>
  <c r="L10" i="7"/>
  <c r="K10" i="7"/>
  <c r="J10" i="7"/>
  <c r="P19" i="1" l="1"/>
  <c r="C18" i="8"/>
  <c r="L4" i="3"/>
  <c r="K4" i="3"/>
  <c r="J4" i="3"/>
  <c r="I4" i="3"/>
  <c r="L4" i="4"/>
  <c r="K4" i="4"/>
  <c r="J4" i="4"/>
  <c r="I4" i="4"/>
  <c r="L4" i="5"/>
  <c r="K4" i="5"/>
  <c r="J4" i="5"/>
  <c r="I4" i="5"/>
  <c r="G77" i="1" l="1"/>
  <c r="K70" i="1"/>
  <c r="AC68" i="1"/>
  <c r="AA68" i="1"/>
  <c r="V68" i="1"/>
  <c r="W66" i="1" s="1"/>
  <c r="W67" i="1"/>
  <c r="P66" i="1"/>
  <c r="O66" i="1" s="1"/>
  <c r="O65" i="1"/>
  <c r="K65" i="1"/>
  <c r="P64" i="1"/>
  <c r="O64" i="1"/>
  <c r="K64" i="1"/>
  <c r="P63" i="1"/>
  <c r="O63" i="1" s="1"/>
  <c r="P62" i="1"/>
  <c r="O62" i="1"/>
  <c r="P61" i="1"/>
  <c r="O61" i="1"/>
  <c r="P60" i="1"/>
  <c r="O60" i="1"/>
  <c r="W61" i="1" l="1"/>
  <c r="W65" i="1"/>
  <c r="X65" i="1" s="1"/>
  <c r="W60" i="1"/>
  <c r="X60" i="1" s="1"/>
  <c r="W63" i="1"/>
  <c r="X63" i="1" s="1"/>
  <c r="X61" i="1"/>
  <c r="W64" i="1"/>
  <c r="W62" i="1"/>
  <c r="X66" i="1"/>
  <c r="X62" i="1"/>
  <c r="X64" i="1"/>
  <c r="W68" i="1"/>
  <c r="X68" i="1" l="1"/>
</calcChain>
</file>

<file path=xl/comments1.xml><?xml version="1.0" encoding="utf-8"?>
<comments xmlns="http://schemas.openxmlformats.org/spreadsheetml/2006/main">
  <authors>
    <author>Pandu</author>
  </authors>
  <commentList>
    <comment ref="B64" authorId="0">
      <text>
        <r>
          <rPr>
            <b/>
            <sz val="8"/>
            <color indexed="81"/>
            <rFont val="Tahoma"/>
            <family val="2"/>
          </rPr>
          <t>Pandu:</t>
        </r>
        <r>
          <rPr>
            <sz val="8"/>
            <color indexed="81"/>
            <rFont val="Tahoma"/>
            <family val="2"/>
          </rPr>
          <t xml:space="preserve">
Jika mayoritas kepemilikan saham adalah bank atau korporasi go publik</t>
        </r>
      </text>
    </comment>
    <comment ref="B65" authorId="0">
      <text>
        <r>
          <rPr>
            <b/>
            <sz val="8"/>
            <color indexed="81"/>
            <rFont val="Tahoma"/>
            <family val="2"/>
          </rPr>
          <t>Pandu:</t>
        </r>
        <r>
          <rPr>
            <sz val="8"/>
            <color indexed="81"/>
            <rFont val="Tahoma"/>
            <family val="2"/>
          </rPr>
          <t xml:space="preserve">
New Proposed</t>
        </r>
      </text>
    </comment>
  </commentList>
</comments>
</file>

<file path=xl/sharedStrings.xml><?xml version="1.0" encoding="utf-8"?>
<sst xmlns="http://schemas.openxmlformats.org/spreadsheetml/2006/main" count="2335" uniqueCount="224">
  <si>
    <t>Bank Muamalat</t>
  </si>
  <si>
    <t>Alamat Kantor</t>
  </si>
  <si>
    <t>Tidak</t>
  </si>
  <si>
    <t>Periode Laporan Keuangan</t>
  </si>
  <si>
    <t>ASPEK KUANTITATIF</t>
  </si>
  <si>
    <t>FINANCIAL PERFORMANCE</t>
  </si>
  <si>
    <t xml:space="preserve">Rasio Keuangan : </t>
  </si>
  <si>
    <t>Rasio Kecukupan Kewajiban Pemenuhan Modal</t>
  </si>
  <si>
    <t>Aset Produktif Bermasalah terhadap Total Aktiva Produktif (NPA)</t>
  </si>
  <si>
    <t>PPAP terhadap AP</t>
  </si>
  <si>
    <t>Pemenuhan PPAP</t>
  </si>
  <si>
    <t>NPF Gross</t>
  </si>
  <si>
    <t>NPF Nett</t>
  </si>
  <si>
    <t>Return on Asset</t>
  </si>
  <si>
    <t>Return on Equity</t>
  </si>
  <si>
    <t>Net Interest Margin/NOI</t>
  </si>
  <si>
    <t>Biaya Operasional terhadap Pendapatan Operasional/OER</t>
  </si>
  <si>
    <t>Financing to Deposit Ratio</t>
  </si>
  <si>
    <t>Kewajiban Bersih Antar Bank</t>
  </si>
  <si>
    <t>Quick Ratio</t>
  </si>
  <si>
    <t>Antar Bank Passiva (SIMA) terhadap DPK</t>
  </si>
  <si>
    <t>Deposan Inti terhadap Dana Pihak Ketiga</t>
  </si>
  <si>
    <t>Giro Wajib Minimum</t>
  </si>
  <si>
    <t>Posisi Devisa Netto</t>
  </si>
  <si>
    <t>GROWTH FINANCIAL PERFORMANCE</t>
  </si>
  <si>
    <t>Permodalan :</t>
  </si>
  <si>
    <t>Rata-Rata Pertumbuhan Modal selama 1 Tahun Terakhir</t>
  </si>
  <si>
    <t>Rata-Rata Pertumbuhan Rasio Kecukupan Modal (CAR) selama 1 Tahun terakhir</t>
  </si>
  <si>
    <t>Rentabilitas :</t>
  </si>
  <si>
    <t>Return on Asset dalam 1 Tahun Terakhir</t>
  </si>
  <si>
    <t>Return on Equity dalam 1 Tahun Terakhir</t>
  </si>
  <si>
    <t>Net Interest Margin dalam 1 Tahun Terakhir</t>
  </si>
  <si>
    <t>Beban Operasional terhadap Pendapatan Operasional (BOPO) dalam 1 Tahun Terakhir</t>
  </si>
  <si>
    <t>Kualitas Aktiva :</t>
  </si>
  <si>
    <t>Aktiva Produktif Bermasalah dalam 1 Tahun Terakhir</t>
  </si>
  <si>
    <t>NPF Gross dalam 1 Tahun Terakhir</t>
  </si>
  <si>
    <t>Likuiditas :</t>
  </si>
  <si>
    <t>Growth Quick Ratio dalam 1 Tahun Terakhir</t>
  </si>
  <si>
    <t>Growth Antar Bank Passiva (SIMA) terhadap DPK dalam 1 Tahun Terakhir</t>
  </si>
  <si>
    <t>Pertumbuhan dana deposan inti terhadap pertumbuhan DPK dalam 1 Tahun Terakhir</t>
  </si>
  <si>
    <t>ASPEK KUALITATIF</t>
  </si>
  <si>
    <t>BOBOT</t>
  </si>
  <si>
    <t>Lama Berdiri</t>
  </si>
  <si>
    <t>10 - 15 TAHUN</t>
  </si>
  <si>
    <t>Kepemilikan Saham Dominan</t>
  </si>
  <si>
    <t>Asing</t>
  </si>
  <si>
    <t>Turn Over Manajemen yang membidangi dalam satu tahun terakhir</t>
  </si>
  <si>
    <t>Tidak Pernah</t>
  </si>
  <si>
    <t>Pengalaman Kerja Manajemen (BOD) yang membidangi</t>
  </si>
  <si>
    <t>Dikelola oleh orang yang mempunyai pengalaman di bidang yang sama selama 6-10 tahun</t>
  </si>
  <si>
    <t>Board of Director (excl. BOD Non-Operasional)</t>
  </si>
  <si>
    <t>Rating Counterparty atau Hold Company</t>
  </si>
  <si>
    <t>Tidak Ada</t>
  </si>
  <si>
    <t>Apakah tergolong Counterparty Baru</t>
  </si>
  <si>
    <t>Ya</t>
  </si>
  <si>
    <t>Rating counterparty pernah mengalami down-grade dalam setahun terakhir</t>
  </si>
  <si>
    <t>ASPEK EKSTERNAL</t>
  </si>
  <si>
    <t>Max. CDS Counterparty 5 Yr mengalami kenaikan secara harian dalam 3 Bulan review</t>
  </si>
  <si>
    <t>REVIEWER</t>
  </si>
  <si>
    <t>TANGGAL  REVIEW</t>
  </si>
  <si>
    <t>Modal bank bjb</t>
  </si>
  <si>
    <t>BMPK bank bjb</t>
  </si>
  <si>
    <t>GROUP HEAD FINANCIAL INSTITUTION</t>
  </si>
  <si>
    <t>Prepared by PnPm</t>
  </si>
  <si>
    <t>Divisi Manajemen Risiko</t>
  </si>
  <si>
    <t>Aspek kuantitatif</t>
  </si>
  <si>
    <t>Financial Growth :</t>
  </si>
  <si>
    <t>Aspek kualitatif</t>
  </si>
  <si>
    <t>Coding</t>
  </si>
  <si>
    <t>Parameter</t>
  </si>
  <si>
    <t>Equal</t>
  </si>
  <si>
    <t>Slightly favors</t>
  </si>
  <si>
    <t>Strongly favors</t>
  </si>
  <si>
    <t>Very strong favor</t>
  </si>
  <si>
    <t>Extreme favors</t>
  </si>
  <si>
    <t>Scale</t>
  </si>
  <si>
    <t xml:space="preserve">Rasio Keuangan  </t>
  </si>
  <si>
    <t>Rasio Keuangan</t>
  </si>
  <si>
    <t>Financial Growth</t>
  </si>
  <si>
    <t>Parameter Utama</t>
  </si>
  <si>
    <t>Analytic Hierarchy Process</t>
  </si>
  <si>
    <t>Sum</t>
  </si>
  <si>
    <t>Nilai rata2</t>
  </si>
  <si>
    <t>Bobot</t>
  </si>
  <si>
    <t>Principal Eigen Value</t>
  </si>
  <si>
    <t>Consistency Index</t>
  </si>
  <si>
    <t>Random index</t>
  </si>
  <si>
    <t>Consistency Ratio (CR)</t>
  </si>
  <si>
    <t>Lambda maks</t>
  </si>
  <si>
    <t>TOOLS PENILAIAN RATING CREDIT LINE BANK SYARIAH</t>
  </si>
  <si>
    <t>Nama Counterparty</t>
  </si>
  <si>
    <t>Modal Counterparty</t>
  </si>
  <si>
    <t>Rasio Keuangan Penting</t>
  </si>
  <si>
    <t>Mandiri Syariah</t>
  </si>
  <si>
    <t>Financial Ratio</t>
  </si>
  <si>
    <t>Modal</t>
  </si>
  <si>
    <t>BNI Syariah</t>
  </si>
  <si>
    <t>NPF Net</t>
  </si>
  <si>
    <t>BRI Syariah</t>
  </si>
  <si>
    <t>Aset produktif bermasalah dan aset non produktif bermasalah terhadap total aset produktif dan aset non produktif</t>
  </si>
  <si>
    <t>Net Operating Margin (NOM)</t>
  </si>
  <si>
    <t>Financing to Deposit Ratio (FDR)</t>
  </si>
  <si>
    <t>Bukopin Syariah</t>
  </si>
  <si>
    <t>Cadangan Kerugian Penurunan Nilai (CKPN) aset keuangan terhadap aset produktif</t>
  </si>
  <si>
    <t>Mega Syariah</t>
  </si>
  <si>
    <t>Maybank Syariah</t>
  </si>
  <si>
    <t>BJB Syariah</t>
  </si>
  <si>
    <t>Return On Equity (ROE)</t>
  </si>
  <si>
    <t>Net Imbalan (NI)</t>
  </si>
  <si>
    <t>Biaya Operasional terhadap Pendapatan Operasional (BOPO)</t>
  </si>
  <si>
    <t>Pembiayaan bagi hasil terhadap total pembiayaan</t>
  </si>
  <si>
    <t>Return On Assets (ROA)</t>
  </si>
  <si>
    <t>Kewajiban Penyediaan Modal Minimum (KPMM)</t>
  </si>
  <si>
    <t>Aset produktif bermasalah terhadap total aset produktf</t>
  </si>
  <si>
    <t>BCA Syariah</t>
  </si>
  <si>
    <t>BTPN Syariah</t>
  </si>
  <si>
    <t>Panin Syariah</t>
  </si>
  <si>
    <t>Victoria Syariah</t>
  </si>
  <si>
    <t>Financial Ratio di tools rating</t>
  </si>
  <si>
    <t>Istilah dlm lap keu</t>
  </si>
  <si>
    <t>Aset_produktif_bermasalah_terhadap_total_aset_produktf</t>
  </si>
  <si>
    <t>NPF_Gross</t>
  </si>
  <si>
    <t>NPF_Net</t>
  </si>
  <si>
    <t>CKPN_aset_keuangan_terhadap_aset_produktif</t>
  </si>
  <si>
    <t>Return_On_Assets_ROA</t>
  </si>
  <si>
    <t>Return_On_Equity_ROE</t>
  </si>
  <si>
    <t>Net_Imbalan_NI</t>
  </si>
  <si>
    <t>Biaya_Operasional_terhadap_Pendapatan_Operasional_BOPO</t>
  </si>
  <si>
    <t>Kewajiban_Penyediaan_Modal_Minimum_KPMM</t>
  </si>
  <si>
    <r>
      <rPr>
        <b/>
        <sz val="9"/>
        <color indexed="8"/>
        <rFont val="Arial Bold"/>
      </rPr>
      <t>One-Sample Kolmogorov-Smirnov Test</t>
    </r>
  </si>
  <si>
    <r>
      <rPr>
        <sz val="9"/>
        <color indexed="8"/>
        <rFont val="Arial"/>
        <family val="2"/>
      </rPr>
      <t>N</t>
    </r>
  </si>
  <si>
    <r>
      <rPr>
        <sz val="9"/>
        <color indexed="8"/>
        <rFont val="Arial"/>
        <family val="2"/>
      </rPr>
      <t>Normal Parameters</t>
    </r>
    <r>
      <rPr>
        <vertAlign val="superscript"/>
        <sz val="9"/>
        <color indexed="8"/>
        <rFont val="Arial"/>
        <family val="2"/>
      </rPr>
      <t>a</t>
    </r>
    <r>
      <rPr>
        <vertAlign val="superscript"/>
        <sz val="9"/>
        <color indexed="8"/>
        <rFont val="Arial"/>
        <family val="2"/>
      </rPr>
      <t>,,b</t>
    </r>
  </si>
  <si>
    <r>
      <rPr>
        <sz val="9"/>
        <color indexed="8"/>
        <rFont val="Arial"/>
        <family val="2"/>
      </rPr>
      <t>Mean</t>
    </r>
  </si>
  <si>
    <r>
      <rPr>
        <sz val="9"/>
        <color indexed="8"/>
        <rFont val="Arial"/>
        <family val="2"/>
      </rPr>
      <t>Std. Deviation</t>
    </r>
  </si>
  <si>
    <r>
      <rPr>
        <sz val="9"/>
        <color indexed="8"/>
        <rFont val="Arial"/>
        <family val="2"/>
      </rPr>
      <t>Most Extreme Differences</t>
    </r>
  </si>
  <si>
    <r>
      <rPr>
        <sz val="9"/>
        <color indexed="8"/>
        <rFont val="Arial"/>
        <family val="2"/>
      </rPr>
      <t>Absolute</t>
    </r>
  </si>
  <si>
    <r>
      <rPr>
        <sz val="9"/>
        <color indexed="8"/>
        <rFont val="Arial"/>
        <family val="2"/>
      </rPr>
      <t>Positive</t>
    </r>
  </si>
  <si>
    <r>
      <rPr>
        <sz val="9"/>
        <color indexed="8"/>
        <rFont val="Arial"/>
        <family val="2"/>
      </rPr>
      <t>Negative</t>
    </r>
  </si>
  <si>
    <r>
      <rPr>
        <sz val="9"/>
        <color indexed="8"/>
        <rFont val="Arial"/>
        <family val="2"/>
      </rPr>
      <t>Kolmogorov-Smirnov Z</t>
    </r>
  </si>
  <si>
    <r>
      <rPr>
        <sz val="9"/>
        <color indexed="8"/>
        <rFont val="Arial"/>
        <family val="2"/>
      </rPr>
      <t>Asymp. Sig. (2-tailed)</t>
    </r>
  </si>
  <si>
    <t>Standar normalitas</t>
  </si>
  <si>
    <t>Nilai α</t>
  </si>
  <si>
    <t>Z tabel distribusi normal</t>
  </si>
  <si>
    <t>Z tabel (yg tdk normal dinormalkan)</t>
  </si>
  <si>
    <t>Jika hasil perhitungan signifikansi di atas 0,05, masuk dalam kategori NORMAL</t>
  </si>
  <si>
    <t>Distribusi :</t>
  </si>
  <si>
    <t>Ket</t>
  </si>
  <si>
    <t>Two way approach</t>
  </si>
  <si>
    <t>One way approach</t>
  </si>
  <si>
    <t>H</t>
  </si>
  <si>
    <t>MTH</t>
  </si>
  <si>
    <t>M</t>
  </si>
  <si>
    <t>LTM</t>
  </si>
  <si>
    <t>L</t>
  </si>
  <si>
    <t>Range nilai</t>
  </si>
  <si>
    <t>Nilai max setelah Deviasi (95% confidence level)</t>
  </si>
  <si>
    <t>Skor</t>
  </si>
  <si>
    <t>One way</t>
  </si>
  <si>
    <t>Growth</t>
  </si>
  <si>
    <t>No</t>
  </si>
  <si>
    <t>Rata2 Growth</t>
  </si>
  <si>
    <t>Thn 2015-2014</t>
  </si>
  <si>
    <t>Thn 2016-2015</t>
  </si>
  <si>
    <r>
      <rPr>
        <sz val="9"/>
        <color indexed="8"/>
        <rFont val="Arial"/>
        <family val="2"/>
      </rPr>
      <t>VAR00001</t>
    </r>
  </si>
  <si>
    <r>
      <rPr>
        <sz val="9"/>
        <color indexed="8"/>
        <rFont val="Arial"/>
        <family val="2"/>
      </rPr>
      <t>VAR00002</t>
    </r>
  </si>
  <si>
    <r>
      <rPr>
        <sz val="9"/>
        <color indexed="8"/>
        <rFont val="Arial"/>
        <family val="2"/>
      </rPr>
      <t>VAR00003</t>
    </r>
  </si>
  <si>
    <r>
      <rPr>
        <sz val="9"/>
        <color indexed="8"/>
        <rFont val="Arial"/>
        <family val="2"/>
      </rPr>
      <t>VAR00004</t>
    </r>
  </si>
  <si>
    <r>
      <rPr>
        <sz val="9"/>
        <color indexed="8"/>
        <rFont val="Arial"/>
        <family val="2"/>
      </rPr>
      <t>VAR00005</t>
    </r>
  </si>
  <si>
    <r>
      <rPr>
        <sz val="9"/>
        <color indexed="8"/>
        <rFont val="Arial"/>
        <family val="2"/>
      </rPr>
      <t>VAR00006</t>
    </r>
  </si>
  <si>
    <r>
      <rPr>
        <sz val="9"/>
        <color indexed="8"/>
        <rFont val="Arial"/>
        <family val="2"/>
      </rPr>
      <t>VAR00007</t>
    </r>
  </si>
  <si>
    <r>
      <rPr>
        <sz val="9"/>
        <color indexed="8"/>
        <rFont val="Arial"/>
        <family val="2"/>
      </rPr>
      <t>VAR00008</t>
    </r>
  </si>
  <si>
    <r>
      <rPr>
        <sz val="9"/>
        <color indexed="8"/>
        <rFont val="Arial"/>
        <family val="2"/>
      </rPr>
      <t>N</t>
    </r>
  </si>
  <si>
    <r>
      <rPr>
        <sz val="9"/>
        <color indexed="8"/>
        <rFont val="Arial"/>
        <family val="2"/>
      </rPr>
      <t>Normal Parameters</t>
    </r>
    <r>
      <rPr>
        <vertAlign val="superscript"/>
        <sz val="9"/>
        <color indexed="8"/>
        <rFont val="Arial"/>
        <family val="2"/>
      </rPr>
      <t>a</t>
    </r>
    <r>
      <rPr>
        <vertAlign val="superscript"/>
        <sz val="9"/>
        <color indexed="8"/>
        <rFont val="Arial"/>
        <family val="2"/>
      </rPr>
      <t>,,b</t>
    </r>
  </si>
  <si>
    <r>
      <rPr>
        <sz val="9"/>
        <color indexed="8"/>
        <rFont val="Arial"/>
        <family val="2"/>
      </rPr>
      <t>Mean</t>
    </r>
  </si>
  <si>
    <r>
      <rPr>
        <sz val="9"/>
        <color indexed="8"/>
        <rFont val="Arial"/>
        <family val="2"/>
      </rPr>
      <t>Std. Deviation</t>
    </r>
  </si>
  <si>
    <r>
      <rPr>
        <sz val="9"/>
        <color indexed="8"/>
        <rFont val="Arial"/>
        <family val="2"/>
      </rPr>
      <t>Most Extreme Differences</t>
    </r>
  </si>
  <si>
    <r>
      <rPr>
        <sz val="9"/>
        <color indexed="8"/>
        <rFont val="Arial"/>
        <family val="2"/>
      </rPr>
      <t>Absolute</t>
    </r>
  </si>
  <si>
    <r>
      <rPr>
        <sz val="9"/>
        <color indexed="8"/>
        <rFont val="Arial"/>
        <family val="2"/>
      </rPr>
      <t>Positive</t>
    </r>
  </si>
  <si>
    <r>
      <rPr>
        <sz val="9"/>
        <color indexed="8"/>
        <rFont val="Arial"/>
        <family val="2"/>
      </rPr>
      <t>Negative</t>
    </r>
  </si>
  <si>
    <r>
      <rPr>
        <sz val="9"/>
        <color indexed="8"/>
        <rFont val="Arial"/>
        <family val="2"/>
      </rPr>
      <t>Kolmogorov-Smirnov Z</t>
    </r>
  </si>
  <si>
    <r>
      <rPr>
        <sz val="9"/>
        <color indexed="8"/>
        <rFont val="Arial"/>
        <family val="2"/>
      </rPr>
      <t>Asymp. Sig. (2-tailed)</t>
    </r>
  </si>
  <si>
    <t>Rating Counterparty atau Holding Company</t>
  </si>
  <si>
    <t>Rata-Rata Pertumbuhan Modal selama 3 Tahun Terakhir (YoY)</t>
  </si>
  <si>
    <t>Rata-Rata Pertumbuhan Rasio Kecukupan Modal (CAR) selama 3 Tahun terakhir (YoY)</t>
  </si>
  <si>
    <t>Return on Asset dalam 3 Tahun Terakhir (YoY)</t>
  </si>
  <si>
    <t>Return on Equity dalam 3 Tahun Terakhir (YoY)</t>
  </si>
  <si>
    <t>Net Interest Margin dalam 3 Tahun Terakhir (YoY)</t>
  </si>
  <si>
    <t>Beban Operasional terhadap Pendapatan Operasional (BOPO) dalam 3 Tahun Terakhir (YoY)</t>
  </si>
  <si>
    <t>Aktiva Produktif Bermasalah dalam 3 Tahun Terakhir (YoY)</t>
  </si>
  <si>
    <t>NPF Gross dalam 3 Tahun Terakhir (YoY)</t>
  </si>
  <si>
    <t>Proporsi Rata2 Growth</t>
  </si>
  <si>
    <t>Pengunduran diri BOD dalam 1 (satu) tahun terakhir</t>
  </si>
  <si>
    <t>Pengalaman Kerja Direktur Utama</t>
  </si>
  <si>
    <t>&gt; 20 Tahun</t>
  </si>
  <si>
    <t>Pengalaman s.d 5 tahun sebagai Direktur bank syariah</t>
  </si>
  <si>
    <t>Lama berdiri</t>
  </si>
  <si>
    <t>1 - 5 Tahun</t>
  </si>
  <si>
    <t>Unrated</t>
  </si>
  <si>
    <t>6 - 10 Tahun</t>
  </si>
  <si>
    <t>1 orang</t>
  </si>
  <si>
    <t>Speculative Grade</t>
  </si>
  <si>
    <t>10 - 15 Tahun</t>
  </si>
  <si>
    <t>&gt; 1 orang</t>
  </si>
  <si>
    <t>Investment Grade</t>
  </si>
  <si>
    <t>15 - 20 Tahun</t>
  </si>
  <si>
    <t>Pemerintah/Pemda</t>
  </si>
  <si>
    <t>Non-Pemerintah (Swasta Domestik)</t>
  </si>
  <si>
    <t>Individual</t>
  </si>
  <si>
    <t>Pengalaman &lt; 1 tahun sebagai Direktur bank syariah</t>
  </si>
  <si>
    <t>Pengalaman s.d 3 tahun sebagai Direktur bank syariah</t>
  </si>
  <si>
    <t>Pengalaman s.d 7 tahun sebagai Direktur bank syariah</t>
  </si>
  <si>
    <t>Pengalaman di atas 7 tahun sebagai Direktur bank syariah</t>
  </si>
  <si>
    <t>Normal</t>
  </si>
  <si>
    <t>Mean</t>
  </si>
  <si>
    <t>Std. Deviation</t>
  </si>
  <si>
    <t>Absolute</t>
  </si>
  <si>
    <t>Positive</t>
  </si>
  <si>
    <t>Negative</t>
  </si>
  <si>
    <t>Kolmogorov-Smirnov Z</t>
  </si>
  <si>
    <t>Asymp. Sig. (2-tailed)</t>
  </si>
  <si>
    <t>N</t>
  </si>
  <si>
    <t>Jenis Distribusi</t>
  </si>
  <si>
    <t>Not Normal</t>
  </si>
  <si>
    <t>One-Sample Kolmogorov-Smirnov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</si>
</sst>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[$Rp-421]#,##0_);\([$Rp-421]#,##0\)"/>
    <numFmt numFmtId="165" formatCode="[$-409]d\-mmm\-yy;@"/>
    <numFmt numFmtId="166" formatCode="[$Rp-421]#,##0.00_);\([$Rp-421]#,##0.00\)"/>
    <numFmt numFmtId="167" formatCode="0.0%"/>
    <numFmt numFmtId="168" formatCode="_(* #,##0_);_(* \(#,##0\);_(* &quot;-&quot;??_);_(@_)"/>
    <numFmt numFmtId="169" formatCode="###0"/>
    <numFmt numFmtId="170" formatCode="####.000"/>
    <numFmt numFmtId="171" formatCode="_(* #,##0.00000_);_(* \(#,##0.00000\);_(* &quot;-&quot;??_);_(@_)"/>
    <numFmt numFmtId="172" formatCode="####.0000000000"/>
    <numFmt numFmtId="173" formatCode="####.00000000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9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Lucida Sans Typewriter"/>
      <family val="3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vertAlign val="superscript"/>
      <sz val="9"/>
      <color indexed="8"/>
      <name val="Arial"/>
      <family val="2"/>
    </font>
    <font>
      <sz val="9"/>
      <color indexed="8"/>
      <name val="Arial Bold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8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/>
      <bottom/>
      <diagonal/>
    </border>
    <border>
      <left style="thin">
        <color theme="9" tint="-0.2499465926084170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/>
      <bottom style="thin">
        <color theme="9" tint="-0.24994659260841701"/>
      </bottom>
      <diagonal/>
    </border>
    <border>
      <left/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medium">
        <color theme="9" tint="-0.24994659260841701"/>
      </bottom>
      <diagonal/>
    </border>
    <border>
      <left/>
      <right/>
      <top style="thin">
        <color theme="9" tint="-0.24994659260841701"/>
      </top>
      <bottom style="medium">
        <color theme="9" tint="-0.24994659260841701"/>
      </bottom>
      <diagonal/>
    </border>
    <border>
      <left/>
      <right style="double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0.39994506668294322"/>
      </left>
      <right style="double">
        <color theme="9" tint="0.39991454817346722"/>
      </right>
      <top style="double">
        <color indexed="64"/>
      </top>
      <bottom style="double">
        <color indexed="64"/>
      </bottom>
      <diagonal/>
    </border>
    <border>
      <left style="thin">
        <color theme="9" tint="0.39994506668294322"/>
      </left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 style="double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double">
        <color theme="9" tint="0.399914548173467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  <xf numFmtId="0" fontId="32" fillId="0" borderId="0"/>
    <xf numFmtId="0" fontId="32" fillId="0" borderId="0"/>
    <xf numFmtId="0" fontId="32" fillId="0" borderId="0"/>
  </cellStyleXfs>
  <cellXfs count="439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5" fillId="2" borderId="1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0" fillId="2" borderId="0" xfId="0" applyFill="1" applyBorder="1"/>
    <xf numFmtId="0" fontId="0" fillId="2" borderId="0" xfId="0" applyFill="1" applyBorder="1" applyAlignment="1">
      <alignment horizontal="left"/>
    </xf>
    <xf numFmtId="9" fontId="0" fillId="2" borderId="0" xfId="0" applyNumberFormat="1" applyFill="1"/>
    <xf numFmtId="0" fontId="11" fillId="2" borderId="21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 textRotation="255"/>
    </xf>
    <xf numFmtId="0" fontId="15" fillId="2" borderId="0" xfId="0" applyFont="1" applyFill="1" applyBorder="1" applyAlignment="1">
      <alignment vertical="center"/>
    </xf>
    <xf numFmtId="0" fontId="11" fillId="2" borderId="20" xfId="0" applyFont="1" applyFill="1" applyBorder="1" applyAlignment="1">
      <alignment textRotation="255"/>
    </xf>
    <xf numFmtId="0" fontId="0" fillId="2" borderId="21" xfId="0" applyFill="1" applyBorder="1"/>
    <xf numFmtId="0" fontId="0" fillId="2" borderId="20" xfId="0" applyFill="1" applyBorder="1"/>
    <xf numFmtId="10" fontId="1" fillId="2" borderId="0" xfId="2" applyNumberFormat="1" applyFont="1" applyFill="1"/>
    <xf numFmtId="43" fontId="1" fillId="2" borderId="0" xfId="1" applyFont="1" applyFill="1"/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3" fillId="2" borderId="0" xfId="0" applyFont="1" applyFill="1"/>
    <xf numFmtId="0" fontId="9" fillId="5" borderId="15" xfId="0" applyFont="1" applyFill="1" applyBorder="1" applyAlignment="1">
      <alignment vertical="center"/>
    </xf>
    <xf numFmtId="0" fontId="9" fillId="5" borderId="16" xfId="0" applyFont="1" applyFill="1" applyBorder="1" applyAlignment="1">
      <alignment vertical="center"/>
    </xf>
    <xf numFmtId="0" fontId="9" fillId="5" borderId="17" xfId="0" applyFont="1" applyFill="1" applyBorder="1" applyAlignment="1">
      <alignment vertical="center"/>
    </xf>
    <xf numFmtId="0" fontId="16" fillId="2" borderId="0" xfId="0" applyFont="1" applyFill="1"/>
    <xf numFmtId="10" fontId="9" fillId="5" borderId="38" xfId="2" applyNumberFormat="1" applyFont="1" applyFill="1" applyBorder="1" applyAlignment="1">
      <alignment horizontal="center"/>
    </xf>
    <xf numFmtId="10" fontId="1" fillId="2" borderId="39" xfId="2" applyNumberFormat="1" applyFont="1" applyFill="1" applyBorder="1"/>
    <xf numFmtId="37" fontId="13" fillId="2" borderId="0" xfId="1" applyNumberFormat="1" applyFont="1" applyFill="1" applyAlignment="1">
      <alignment horizontal="center" vertical="center"/>
    </xf>
    <xf numFmtId="0" fontId="13" fillId="2" borderId="0" xfId="0" applyFont="1" applyFill="1"/>
    <xf numFmtId="0" fontId="17" fillId="2" borderId="0" xfId="0" applyFont="1" applyFill="1"/>
    <xf numFmtId="10" fontId="17" fillId="2" borderId="40" xfId="2" applyNumberFormat="1" applyFont="1" applyFill="1" applyBorder="1"/>
    <xf numFmtId="10" fontId="13" fillId="2" borderId="0" xfId="2" applyNumberFormat="1" applyFont="1" applyFill="1"/>
    <xf numFmtId="167" fontId="1" fillId="2" borderId="0" xfId="2" applyNumberFormat="1" applyFont="1" applyFill="1"/>
    <xf numFmtId="37" fontId="13" fillId="2" borderId="0" xfId="2" applyNumberFormat="1" applyFont="1" applyFill="1" applyAlignment="1">
      <alignment horizontal="center" vertical="center"/>
    </xf>
    <xf numFmtId="10" fontId="17" fillId="2" borderId="42" xfId="2" applyNumberFormat="1" applyFont="1" applyFill="1" applyBorder="1"/>
    <xf numFmtId="10" fontId="17" fillId="2" borderId="43" xfId="2" applyNumberFormat="1" applyFont="1" applyFill="1" applyBorder="1"/>
    <xf numFmtId="43" fontId="13" fillId="2" borderId="0" xfId="1" applyFont="1" applyFill="1"/>
    <xf numFmtId="9" fontId="13" fillId="2" borderId="0" xfId="0" applyNumberFormat="1" applyFont="1" applyFill="1"/>
    <xf numFmtId="10" fontId="17" fillId="2" borderId="44" xfId="2" applyNumberFormat="1" applyFont="1" applyFill="1" applyBorder="1"/>
    <xf numFmtId="2" fontId="0" fillId="2" borderId="0" xfId="0" applyNumberFormat="1" applyFill="1"/>
    <xf numFmtId="9" fontId="1" fillId="2" borderId="0" xfId="2" applyFont="1" applyFill="1"/>
    <xf numFmtId="10" fontId="16" fillId="2" borderId="0" xfId="2" applyNumberFormat="1" applyFont="1" applyFill="1"/>
    <xf numFmtId="9" fontId="13" fillId="2" borderId="32" xfId="0" applyNumberFormat="1" applyFont="1" applyFill="1" applyBorder="1" applyAlignment="1" applyProtection="1">
      <alignment horizontal="center" vertical="center"/>
      <protection hidden="1"/>
    </xf>
    <xf numFmtId="9" fontId="13" fillId="2" borderId="33" xfId="0" applyNumberFormat="1" applyFont="1" applyFill="1" applyBorder="1" applyAlignment="1" applyProtection="1">
      <alignment horizontal="center" vertical="center"/>
      <protection hidden="1"/>
    </xf>
    <xf numFmtId="9" fontId="13" fillId="2" borderId="34" xfId="0" applyNumberFormat="1" applyFont="1" applyFill="1" applyBorder="1" applyAlignment="1" applyProtection="1">
      <alignment horizontal="center" vertical="center"/>
      <protection hidden="1"/>
    </xf>
    <xf numFmtId="0" fontId="20" fillId="2" borderId="0" xfId="0" applyFont="1" applyFill="1"/>
    <xf numFmtId="0" fontId="21" fillId="2" borderId="0" xfId="0" applyFont="1" applyFill="1"/>
    <xf numFmtId="0" fontId="2" fillId="6" borderId="23" xfId="0" applyFont="1" applyFill="1" applyBorder="1" applyAlignment="1">
      <alignment horizontal="left" vertical="center"/>
    </xf>
    <xf numFmtId="0" fontId="3" fillId="7" borderId="23" xfId="0" applyFont="1" applyFill="1" applyBorder="1" applyAlignment="1">
      <alignment horizontal="left" vertical="center"/>
    </xf>
    <xf numFmtId="0" fontId="12" fillId="2" borderId="30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12" fillId="2" borderId="23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center"/>
    </xf>
    <xf numFmtId="0" fontId="3" fillId="9" borderId="0" xfId="0" applyFont="1" applyFill="1"/>
    <xf numFmtId="0" fontId="0" fillId="0" borderId="0" xfId="0" applyAlignment="1">
      <alignment horizontal="center"/>
    </xf>
    <xf numFmtId="0" fontId="3" fillId="0" borderId="0" xfId="0" applyFont="1" applyFill="1"/>
    <xf numFmtId="0" fontId="3" fillId="0" borderId="0" xfId="0" applyFont="1" applyFill="1" applyBorder="1" applyAlignment="1">
      <alignment vertical="center"/>
    </xf>
    <xf numFmtId="0" fontId="0" fillId="0" borderId="0" xfId="0" applyFill="1"/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10" borderId="45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10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50" xfId="0" applyBorder="1"/>
    <xf numFmtId="0" fontId="0" fillId="3" borderId="50" xfId="0" applyFill="1" applyBorder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vertical="top"/>
    </xf>
    <xf numFmtId="16" fontId="0" fillId="0" borderId="47" xfId="0" quotePrefix="1" applyNumberFormat="1" applyBorder="1" applyAlignment="1">
      <alignment vertical="top"/>
    </xf>
    <xf numFmtId="0" fontId="0" fillId="0" borderId="48" xfId="0" applyBorder="1" applyAlignment="1">
      <alignment vertical="top" wrapText="1"/>
    </xf>
    <xf numFmtId="0" fontId="0" fillId="0" borderId="49" xfId="0" applyBorder="1" applyAlignment="1">
      <alignment horizontal="left" vertical="top" wrapText="1"/>
    </xf>
    <xf numFmtId="0" fontId="0" fillId="0" borderId="50" xfId="0" applyBorder="1" applyAlignment="1">
      <alignment vertical="top"/>
    </xf>
    <xf numFmtId="0" fontId="0" fillId="0" borderId="50" xfId="0" quotePrefix="1" applyBorder="1" applyAlignment="1">
      <alignment vertical="top"/>
    </xf>
    <xf numFmtId="0" fontId="0" fillId="0" borderId="51" xfId="0" applyBorder="1" applyAlignment="1">
      <alignment vertical="top" wrapText="1"/>
    </xf>
    <xf numFmtId="0" fontId="0" fillId="3" borderId="49" xfId="0" applyFill="1" applyBorder="1" applyAlignment="1">
      <alignment horizontal="left" vertical="top" wrapText="1"/>
    </xf>
    <xf numFmtId="0" fontId="0" fillId="3" borderId="50" xfId="0" applyFill="1" applyBorder="1" applyAlignment="1">
      <alignment vertical="top"/>
    </xf>
    <xf numFmtId="0" fontId="0" fillId="3" borderId="51" xfId="0" applyFill="1" applyBorder="1" applyAlignment="1">
      <alignment vertical="top" wrapText="1"/>
    </xf>
    <xf numFmtId="0" fontId="0" fillId="0" borderId="49" xfId="0" applyBorder="1" applyAlignment="1">
      <alignment vertical="top" wrapText="1"/>
    </xf>
    <xf numFmtId="16" fontId="0" fillId="0" borderId="50" xfId="0" quotePrefix="1" applyNumberFormat="1" applyBorder="1" applyAlignment="1">
      <alignment vertical="top"/>
    </xf>
    <xf numFmtId="0" fontId="0" fillId="0" borderId="52" xfId="0" applyBorder="1" applyAlignment="1">
      <alignment vertical="top" wrapText="1"/>
    </xf>
    <xf numFmtId="0" fontId="0" fillId="0" borderId="53" xfId="0" applyBorder="1" applyAlignment="1">
      <alignment vertical="top"/>
    </xf>
    <xf numFmtId="0" fontId="0" fillId="0" borderId="54" xfId="0" applyBorder="1" applyAlignment="1">
      <alignment vertical="top" wrapText="1"/>
    </xf>
    <xf numFmtId="0" fontId="3" fillId="7" borderId="0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50" xfId="0" applyBorder="1" applyAlignment="1">
      <alignment wrapText="1"/>
    </xf>
    <xf numFmtId="0" fontId="0" fillId="3" borderId="50" xfId="0" applyFill="1" applyBorder="1" applyAlignment="1">
      <alignment wrapText="1"/>
    </xf>
    <xf numFmtId="0" fontId="0" fillId="0" borderId="50" xfId="0" applyFill="1" applyBorder="1" applyAlignment="1">
      <alignment horizontal="left" wrapText="1"/>
    </xf>
    <xf numFmtId="0" fontId="0" fillId="3" borderId="50" xfId="0" applyFill="1" applyBorder="1" applyAlignment="1">
      <alignment horizontal="center" wrapText="1"/>
    </xf>
    <xf numFmtId="0" fontId="0" fillId="0" borderId="50" xfId="0" applyBorder="1" applyAlignment="1">
      <alignment horizontal="left" wrapText="1"/>
    </xf>
    <xf numFmtId="0" fontId="16" fillId="0" borderId="50" xfId="0" applyFont="1" applyFill="1" applyBorder="1" applyAlignment="1">
      <alignment vertical="center"/>
    </xf>
    <xf numFmtId="0" fontId="0" fillId="0" borderId="50" xfId="0" applyFont="1" applyBorder="1"/>
    <xf numFmtId="0" fontId="0" fillId="3" borderId="50" xfId="0" applyFill="1" applyBorder="1" applyAlignment="1">
      <alignment horizontal="center"/>
    </xf>
    <xf numFmtId="0" fontId="24" fillId="7" borderId="0" xfId="0" applyFont="1" applyFill="1" applyBorder="1" applyAlignment="1">
      <alignment vertical="center"/>
    </xf>
    <xf numFmtId="0" fontId="25" fillId="9" borderId="0" xfId="0" applyFont="1" applyFill="1"/>
    <xf numFmtId="0" fontId="0" fillId="9" borderId="0" xfId="0" applyFill="1"/>
    <xf numFmtId="0" fontId="26" fillId="9" borderId="0" xfId="0" applyFont="1" applyFill="1"/>
    <xf numFmtId="0" fontId="0" fillId="0" borderId="0" xfId="0" applyFill="1" applyAlignment="1">
      <alignment horizontal="center"/>
    </xf>
    <xf numFmtId="0" fontId="0" fillId="11" borderId="50" xfId="0" applyFill="1" applyBorder="1" applyAlignment="1">
      <alignment horizontal="left" wrapText="1"/>
    </xf>
    <xf numFmtId="0" fontId="0" fillId="11" borderId="50" xfId="0" applyFill="1" applyBorder="1"/>
    <xf numFmtId="0" fontId="0" fillId="11" borderId="50" xfId="0" applyFill="1" applyBorder="1" applyAlignment="1">
      <alignment wrapText="1"/>
    </xf>
    <xf numFmtId="43" fontId="0" fillId="0" borderId="50" xfId="1" applyFont="1" applyBorder="1"/>
    <xf numFmtId="0" fontId="25" fillId="0" borderId="0" xfId="0" applyFont="1" applyFill="1"/>
    <xf numFmtId="0" fontId="0" fillId="0" borderId="0" xfId="0" applyFill="1" applyAlignment="1">
      <alignment horizontal="center" vertical="center" wrapText="1"/>
    </xf>
    <xf numFmtId="0" fontId="0" fillId="9" borderId="44" xfId="0" applyFill="1" applyBorder="1" applyAlignment="1">
      <alignment horizontal="center" wrapText="1"/>
    </xf>
    <xf numFmtId="43" fontId="0" fillId="0" borderId="0" xfId="0" applyNumberFormat="1" applyFill="1"/>
    <xf numFmtId="43" fontId="8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3" fontId="16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16" fillId="0" borderId="0" xfId="0" applyFont="1"/>
    <xf numFmtId="0" fontId="8" fillId="9" borderId="0" xfId="0" applyFont="1" applyFill="1" applyBorder="1" applyAlignment="1">
      <alignment vertical="center"/>
    </xf>
    <xf numFmtId="43" fontId="8" fillId="9" borderId="0" xfId="0" applyNumberFormat="1" applyFont="1" applyFill="1" applyBorder="1" applyAlignment="1">
      <alignment vertical="center"/>
    </xf>
    <xf numFmtId="0" fontId="0" fillId="7" borderId="0" xfId="0" applyFill="1" applyAlignment="1">
      <alignment horizontal="center"/>
    </xf>
    <xf numFmtId="0" fontId="0" fillId="7" borderId="0" xfId="0" applyFill="1"/>
    <xf numFmtId="0" fontId="0" fillId="0" borderId="0" xfId="0" applyAlignment="1">
      <alignment horizontal="center" vertical="center" wrapText="1"/>
    </xf>
    <xf numFmtId="0" fontId="25" fillId="0" borderId="0" xfId="0" applyFont="1" applyFill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9" borderId="0" xfId="0" applyFill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center" vertical="center"/>
    </xf>
    <xf numFmtId="0" fontId="25" fillId="4" borderId="0" xfId="0" applyFont="1" applyFill="1"/>
    <xf numFmtId="0" fontId="16" fillId="4" borderId="50" xfId="0" applyFont="1" applyFill="1" applyBorder="1" applyAlignment="1">
      <alignment vertical="center"/>
    </xf>
    <xf numFmtId="9" fontId="8" fillId="4" borderId="0" xfId="2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 wrapText="1"/>
    </xf>
    <xf numFmtId="0" fontId="3" fillId="0" borderId="0" xfId="0" applyFont="1" applyAlignment="1">
      <alignment vertical="top"/>
    </xf>
    <xf numFmtId="0" fontId="0" fillId="9" borderId="0" xfId="0" applyFill="1" applyAlignment="1">
      <alignment vertical="top"/>
    </xf>
    <xf numFmtId="0" fontId="0" fillId="4" borderId="44" xfId="0" applyFont="1" applyFill="1" applyBorder="1" applyAlignment="1">
      <alignment vertical="center" wrapText="1"/>
    </xf>
    <xf numFmtId="0" fontId="0" fillId="4" borderId="44" xfId="0" applyFont="1" applyFill="1" applyBorder="1" applyAlignment="1">
      <alignment vertical="center"/>
    </xf>
    <xf numFmtId="9" fontId="0" fillId="4" borderId="44" xfId="2" applyFont="1" applyFill="1" applyBorder="1" applyAlignment="1">
      <alignment vertical="center"/>
    </xf>
    <xf numFmtId="0" fontId="25" fillId="4" borderId="44" xfId="0" applyFont="1" applyFill="1" applyBorder="1" applyAlignment="1">
      <alignment vertical="center"/>
    </xf>
    <xf numFmtId="0" fontId="8" fillId="4" borderId="44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 wrapText="1"/>
    </xf>
    <xf numFmtId="0" fontId="0" fillId="4" borderId="44" xfId="0" applyFill="1" applyBorder="1" applyAlignment="1">
      <alignment wrapText="1"/>
    </xf>
    <xf numFmtId="0" fontId="0" fillId="4" borderId="44" xfId="0" applyFill="1" applyBorder="1" applyAlignment="1">
      <alignment horizontal="center"/>
    </xf>
    <xf numFmtId="9" fontId="0" fillId="4" borderId="44" xfId="2" applyFont="1" applyFill="1" applyBorder="1" applyAlignment="1">
      <alignment horizontal="center"/>
    </xf>
    <xf numFmtId="0" fontId="0" fillId="2" borderId="9" xfId="0" applyFill="1" applyBorder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2" borderId="0" xfId="0" applyFill="1" applyBorder="1" applyAlignment="1"/>
    <xf numFmtId="0" fontId="0" fillId="3" borderId="22" xfId="0" applyFill="1" applyBorder="1" applyAlignment="1"/>
    <xf numFmtId="0" fontId="0" fillId="3" borderId="0" xfId="0" applyFill="1" applyBorder="1" applyAlignment="1"/>
    <xf numFmtId="0" fontId="0" fillId="0" borderId="5" xfId="0" applyFill="1" applyBorder="1"/>
    <xf numFmtId="10" fontId="1" fillId="0" borderId="0" xfId="2" applyNumberFormat="1" applyFont="1" applyFill="1"/>
    <xf numFmtId="43" fontId="1" fillId="0" borderId="0" xfId="1" applyFont="1" applyFill="1"/>
    <xf numFmtId="0" fontId="7" fillId="0" borderId="2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3" fillId="12" borderId="57" xfId="0" applyFont="1" applyFill="1" applyBorder="1" applyAlignment="1">
      <alignment vertical="center"/>
    </xf>
    <xf numFmtId="0" fontId="3" fillId="12" borderId="58" xfId="0" applyFont="1" applyFill="1" applyBorder="1" applyAlignment="1">
      <alignment vertical="center"/>
    </xf>
    <xf numFmtId="0" fontId="3" fillId="12" borderId="59" xfId="0" applyFont="1" applyFill="1" applyBorder="1" applyAlignment="1">
      <alignment vertical="center"/>
    </xf>
    <xf numFmtId="0" fontId="3" fillId="12" borderId="60" xfId="0" applyFont="1" applyFill="1" applyBorder="1" applyAlignment="1">
      <alignment vertical="center"/>
    </xf>
    <xf numFmtId="0" fontId="3" fillId="12" borderId="61" xfId="0" applyFont="1" applyFill="1" applyBorder="1" applyAlignment="1">
      <alignment vertical="center"/>
    </xf>
    <xf numFmtId="0" fontId="2" fillId="12" borderId="56" xfId="0" applyFont="1" applyFill="1" applyBorder="1" applyAlignment="1">
      <alignment vertical="center"/>
    </xf>
    <xf numFmtId="9" fontId="4" fillId="14" borderId="0" xfId="0" applyNumberFormat="1" applyFont="1" applyFill="1"/>
    <xf numFmtId="0" fontId="2" fillId="14" borderId="0" xfId="0" applyFont="1" applyFill="1" applyAlignment="1">
      <alignment horizontal="center"/>
    </xf>
    <xf numFmtId="10" fontId="0" fillId="0" borderId="0" xfId="0" applyNumberFormat="1"/>
    <xf numFmtId="0" fontId="3" fillId="9" borderId="0" xfId="0" applyFont="1" applyFill="1" applyAlignment="1">
      <alignment horizontal="center"/>
    </xf>
    <xf numFmtId="10" fontId="0" fillId="0" borderId="0" xfId="0" applyNumberFormat="1" applyAlignment="1">
      <alignment vertical="top"/>
    </xf>
    <xf numFmtId="0" fontId="3" fillId="0" borderId="0" xfId="0" applyFont="1" applyAlignment="1">
      <alignment wrapText="1"/>
    </xf>
    <xf numFmtId="168" fontId="0" fillId="0" borderId="0" xfId="1" applyNumberFormat="1" applyFont="1"/>
    <xf numFmtId="0" fontId="3" fillId="15" borderId="0" xfId="0" applyFont="1" applyFill="1"/>
    <xf numFmtId="0" fontId="3" fillId="16" borderId="0" xfId="0" applyFont="1" applyFill="1"/>
    <xf numFmtId="0" fontId="3" fillId="17" borderId="0" xfId="0" applyFont="1" applyFill="1"/>
    <xf numFmtId="3" fontId="0" fillId="0" borderId="0" xfId="0" applyNumberFormat="1"/>
    <xf numFmtId="0" fontId="3" fillId="16" borderId="0" xfId="0" applyFont="1" applyFill="1" applyAlignment="1">
      <alignment horizontal="center"/>
    </xf>
    <xf numFmtId="0" fontId="3" fillId="17" borderId="0" xfId="0" applyFont="1" applyFill="1" applyAlignment="1">
      <alignment horizontal="center"/>
    </xf>
    <xf numFmtId="0" fontId="3" fillId="18" borderId="0" xfId="0" applyFont="1" applyFill="1" applyAlignment="1">
      <alignment vertical="top"/>
    </xf>
    <xf numFmtId="10" fontId="0" fillId="0" borderId="0" xfId="2" applyNumberFormat="1" applyFont="1"/>
    <xf numFmtId="0" fontId="3" fillId="9" borderId="0" xfId="0" applyFont="1" applyFill="1" applyAlignment="1">
      <alignment vertical="top"/>
    </xf>
    <xf numFmtId="0" fontId="3" fillId="19" borderId="0" xfId="0" applyFont="1" applyFill="1" applyAlignment="1">
      <alignment vertical="top"/>
    </xf>
    <xf numFmtId="0" fontId="3" fillId="20" borderId="0" xfId="0" applyFont="1" applyFill="1" applyAlignment="1">
      <alignment vertical="top"/>
    </xf>
    <xf numFmtId="43" fontId="0" fillId="0" borderId="0" xfId="1" applyFont="1"/>
    <xf numFmtId="0" fontId="0" fillId="0" borderId="0" xfId="0" applyFont="1" applyFill="1"/>
    <xf numFmtId="0" fontId="3" fillId="21" borderId="0" xfId="0" applyFont="1" applyFill="1" applyAlignment="1">
      <alignment vertical="top"/>
    </xf>
    <xf numFmtId="0" fontId="3" fillId="17" borderId="0" xfId="0" applyFont="1" applyFill="1" applyAlignment="1">
      <alignment vertical="top"/>
    </xf>
    <xf numFmtId="0" fontId="3" fillId="12" borderId="0" xfId="0" applyFont="1" applyFill="1" applyAlignment="1">
      <alignment vertical="top"/>
    </xf>
    <xf numFmtId="0" fontId="3" fillId="22" borderId="0" xfId="0" applyFont="1" applyFill="1" applyAlignment="1">
      <alignment vertical="top"/>
    </xf>
    <xf numFmtId="10" fontId="0" fillId="0" borderId="0" xfId="0" applyNumberFormat="1" applyFont="1" applyFill="1" applyAlignment="1"/>
    <xf numFmtId="0" fontId="0" fillId="0" borderId="0" xfId="0" applyFont="1" applyFill="1" applyAlignment="1"/>
    <xf numFmtId="10" fontId="0" fillId="0" borderId="0" xfId="0" applyNumberFormat="1" applyFont="1" applyAlignment="1"/>
    <xf numFmtId="0" fontId="0" fillId="0" borderId="0" xfId="1" applyNumberFormat="1" applyFont="1"/>
    <xf numFmtId="10" fontId="0" fillId="0" borderId="0" xfId="2" applyNumberFormat="1" applyFont="1" applyAlignment="1">
      <alignment wrapText="1"/>
    </xf>
    <xf numFmtId="168" fontId="3" fillId="0" borderId="0" xfId="1" applyNumberFormat="1" applyFont="1" applyAlignment="1">
      <alignment horizontal="left"/>
    </xf>
    <xf numFmtId="169" fontId="30" fillId="0" borderId="70" xfId="3" applyNumberFormat="1" applyFont="1" applyBorder="1" applyAlignment="1">
      <alignment horizontal="right" vertical="top"/>
    </xf>
    <xf numFmtId="169" fontId="30" fillId="0" borderId="71" xfId="3" applyNumberFormat="1" applyFont="1" applyBorder="1" applyAlignment="1">
      <alignment horizontal="right" vertical="top"/>
    </xf>
    <xf numFmtId="169" fontId="30" fillId="0" borderId="72" xfId="3" applyNumberFormat="1" applyFont="1" applyBorder="1" applyAlignment="1">
      <alignment horizontal="right" vertical="top"/>
    </xf>
    <xf numFmtId="0" fontId="30" fillId="0" borderId="74" xfId="3" applyFont="1" applyBorder="1" applyAlignment="1">
      <alignment horizontal="left" vertical="top" wrapText="1"/>
    </xf>
    <xf numFmtId="0" fontId="28" fillId="0" borderId="0" xfId="3"/>
    <xf numFmtId="0" fontId="33" fillId="0" borderId="0" xfId="4" applyFont="1" applyFill="1" applyBorder="1" applyAlignment="1">
      <alignment vertical="top" wrapText="1"/>
    </xf>
    <xf numFmtId="0" fontId="29" fillId="0" borderId="0" xfId="4" applyFont="1" applyFill="1" applyBorder="1" applyAlignment="1">
      <alignment vertical="center"/>
    </xf>
    <xf numFmtId="170" fontId="33" fillId="5" borderId="0" xfId="4" applyNumberFormat="1" applyFont="1" applyFill="1" applyBorder="1" applyAlignment="1">
      <alignment horizontal="right" vertical="top"/>
    </xf>
    <xf numFmtId="9" fontId="29" fillId="0" borderId="0" xfId="4" applyNumberFormat="1" applyFont="1" applyFill="1" applyBorder="1" applyAlignment="1">
      <alignment vertical="center"/>
    </xf>
    <xf numFmtId="170" fontId="33" fillId="0" borderId="0" xfId="4" applyNumberFormat="1" applyFont="1" applyFill="1" applyBorder="1" applyAlignment="1">
      <alignment horizontal="right" vertical="top"/>
    </xf>
    <xf numFmtId="0" fontId="34" fillId="0" borderId="0" xfId="4" applyFont="1" applyFill="1" applyBorder="1" applyAlignment="1">
      <alignment vertical="top" wrapText="1"/>
    </xf>
    <xf numFmtId="10" fontId="34" fillId="0" borderId="0" xfId="2" applyNumberFormat="1" applyFont="1" applyFill="1" applyBorder="1" applyAlignment="1">
      <alignment horizontal="right" vertical="top"/>
    </xf>
    <xf numFmtId="170" fontId="34" fillId="0" borderId="0" xfId="4" applyNumberFormat="1" applyFont="1" applyFill="1" applyBorder="1" applyAlignment="1">
      <alignment horizontal="left" vertical="top"/>
    </xf>
    <xf numFmtId="10" fontId="30" fillId="0" borderId="75" xfId="2" applyNumberFormat="1" applyFont="1" applyBorder="1" applyAlignment="1">
      <alignment horizontal="right" vertical="top"/>
    </xf>
    <xf numFmtId="10" fontId="30" fillId="0" borderId="76" xfId="2" applyNumberFormat="1" applyFont="1" applyBorder="1" applyAlignment="1">
      <alignment horizontal="right" vertical="top"/>
    </xf>
    <xf numFmtId="10" fontId="30" fillId="0" borderId="77" xfId="2" applyNumberFormat="1" applyFont="1" applyBorder="1" applyAlignment="1">
      <alignment horizontal="right" vertical="top"/>
    </xf>
    <xf numFmtId="10" fontId="30" fillId="0" borderId="81" xfId="2" applyNumberFormat="1" applyFont="1" applyBorder="1" applyAlignment="1">
      <alignment horizontal="right" vertical="top"/>
    </xf>
    <xf numFmtId="10" fontId="30" fillId="0" borderId="82" xfId="2" applyNumberFormat="1" applyFont="1" applyBorder="1" applyAlignment="1">
      <alignment horizontal="right" vertical="top"/>
    </xf>
    <xf numFmtId="10" fontId="30" fillId="0" borderId="83" xfId="2" applyNumberFormat="1" applyFont="1" applyBorder="1" applyAlignment="1">
      <alignment horizontal="right" vertical="top"/>
    </xf>
    <xf numFmtId="0" fontId="35" fillId="5" borderId="0" xfId="3" applyFont="1" applyFill="1" applyAlignment="1">
      <alignment horizontal="right"/>
    </xf>
    <xf numFmtId="0" fontId="32" fillId="9" borderId="0" xfId="5" applyFill="1" applyAlignment="1">
      <alignment horizontal="right"/>
    </xf>
    <xf numFmtId="0" fontId="32" fillId="9" borderId="0" xfId="5" applyFont="1" applyFill="1" applyAlignment="1">
      <alignment horizontal="right"/>
    </xf>
    <xf numFmtId="0" fontId="32" fillId="23" borderId="0" xfId="5" applyFill="1" applyAlignment="1">
      <alignment horizontal="right"/>
    </xf>
    <xf numFmtId="0" fontId="0" fillId="23" borderId="0" xfId="0" applyFill="1"/>
    <xf numFmtId="0" fontId="32" fillId="23" borderId="0" xfId="5" applyFont="1" applyFill="1" applyAlignment="1">
      <alignment horizontal="right"/>
    </xf>
    <xf numFmtId="0" fontId="32" fillId="24" borderId="0" xfId="5" applyFill="1" applyAlignment="1">
      <alignment horizontal="right"/>
    </xf>
    <xf numFmtId="0" fontId="0" fillId="24" borderId="0" xfId="0" applyFill="1"/>
    <xf numFmtId="0" fontId="32" fillId="24" borderId="0" xfId="5" applyFont="1" applyFill="1" applyAlignment="1">
      <alignment horizontal="right"/>
    </xf>
    <xf numFmtId="0" fontId="32" fillId="25" borderId="0" xfId="5" applyFill="1" applyAlignment="1">
      <alignment horizontal="right"/>
    </xf>
    <xf numFmtId="0" fontId="0" fillId="25" borderId="0" xfId="0" applyFill="1"/>
    <xf numFmtId="0" fontId="32" fillId="25" borderId="0" xfId="5" applyFont="1" applyFill="1" applyAlignment="1">
      <alignment horizontal="right"/>
    </xf>
    <xf numFmtId="0" fontId="0" fillId="23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24" borderId="0" xfId="0" applyFill="1" applyAlignment="1">
      <alignment horizontal="center"/>
    </xf>
    <xf numFmtId="0" fontId="0" fillId="0" borderId="0" xfId="0" applyAlignment="1">
      <alignment horizontal="left" vertical="center" wrapText="1"/>
    </xf>
    <xf numFmtId="0" fontId="3" fillId="23" borderId="0" xfId="0" applyFont="1" applyFill="1" applyAlignment="1">
      <alignment horizontal="center"/>
    </xf>
    <xf numFmtId="0" fontId="3" fillId="23" borderId="0" xfId="0" applyFont="1" applyFill="1" applyAlignment="1">
      <alignment horizontal="right"/>
    </xf>
    <xf numFmtId="10" fontId="16" fillId="23" borderId="0" xfId="2" applyNumberFormat="1" applyFont="1" applyFill="1"/>
    <xf numFmtId="0" fontId="16" fillId="23" borderId="0" xfId="0" applyFont="1" applyFill="1"/>
    <xf numFmtId="0" fontId="16" fillId="23" borderId="0" xfId="0" applyFont="1" applyFill="1" applyAlignment="1">
      <alignment wrapText="1"/>
    </xf>
    <xf numFmtId="0" fontId="16" fillId="23" borderId="0" xfId="0" applyFont="1" applyFill="1" applyAlignment="1">
      <alignment horizontal="center"/>
    </xf>
    <xf numFmtId="10" fontId="16" fillId="9" borderId="0" xfId="2" applyNumberFormat="1" applyFont="1" applyFill="1"/>
    <xf numFmtId="0" fontId="16" fillId="9" borderId="0" xfId="0" applyFont="1" applyFill="1" applyAlignment="1">
      <alignment horizontal="center"/>
    </xf>
    <xf numFmtId="0" fontId="16" fillId="9" borderId="0" xfId="0" applyFont="1" applyFill="1"/>
    <xf numFmtId="0" fontId="16" fillId="9" borderId="0" xfId="0" applyFont="1" applyFill="1" applyAlignment="1">
      <alignment wrapText="1"/>
    </xf>
    <xf numFmtId="10" fontId="16" fillId="25" borderId="0" xfId="2" applyNumberFormat="1" applyFont="1" applyFill="1"/>
    <xf numFmtId="0" fontId="16" fillId="25" borderId="0" xfId="0" applyFont="1" applyFill="1" applyAlignment="1">
      <alignment horizontal="center"/>
    </xf>
    <xf numFmtId="0" fontId="16" fillId="25" borderId="0" xfId="0" applyFont="1" applyFill="1"/>
    <xf numFmtId="0" fontId="16" fillId="25" borderId="0" xfId="0" applyFont="1" applyFill="1" applyAlignment="1">
      <alignment wrapText="1"/>
    </xf>
    <xf numFmtId="10" fontId="16" fillId="24" borderId="0" xfId="2" applyNumberFormat="1" applyFont="1" applyFill="1"/>
    <xf numFmtId="0" fontId="16" fillId="24" borderId="0" xfId="0" applyFont="1" applyFill="1" applyAlignment="1">
      <alignment horizontal="center"/>
    </xf>
    <xf numFmtId="0" fontId="16" fillId="24" borderId="0" xfId="0" applyFont="1" applyFill="1"/>
    <xf numFmtId="0" fontId="16" fillId="24" borderId="0" xfId="0" applyFont="1" applyFill="1" applyAlignment="1">
      <alignment wrapText="1"/>
    </xf>
    <xf numFmtId="170" fontId="33" fillId="10" borderId="44" xfId="4" applyNumberFormat="1" applyFont="1" applyFill="1" applyBorder="1" applyAlignment="1">
      <alignment horizontal="center" vertical="center" wrapText="1"/>
    </xf>
    <xf numFmtId="0" fontId="0" fillId="26" borderId="0" xfId="0" applyFill="1"/>
    <xf numFmtId="0" fontId="0" fillId="0" borderId="0" xfId="0" applyAlignment="1">
      <alignment horizontal="right"/>
    </xf>
    <xf numFmtId="0" fontId="0" fillId="26" borderId="0" xfId="0" applyFill="1" applyAlignment="1">
      <alignment horizontal="right"/>
    </xf>
    <xf numFmtId="10" fontId="0" fillId="0" borderId="0" xfId="0" applyNumberFormat="1" applyAlignment="1">
      <alignment wrapText="1"/>
    </xf>
    <xf numFmtId="168" fontId="0" fillId="0" borderId="0" xfId="1" applyNumberFormat="1" applyFont="1" applyAlignment="1">
      <alignment wrapText="1"/>
    </xf>
    <xf numFmtId="0" fontId="3" fillId="0" borderId="0" xfId="0" applyFont="1" applyAlignment="1">
      <alignment horizontal="center" wrapText="1"/>
    </xf>
    <xf numFmtId="10" fontId="0" fillId="4" borderId="0" xfId="0" applyNumberFormat="1" applyFill="1"/>
    <xf numFmtId="0" fontId="0" fillId="4" borderId="0" xfId="0" applyFill="1"/>
    <xf numFmtId="10" fontId="0" fillId="4" borderId="0" xfId="2" applyNumberFormat="1" applyFont="1" applyFill="1"/>
    <xf numFmtId="0" fontId="0" fillId="0" borderId="0" xfId="0" applyAlignment="1"/>
    <xf numFmtId="171" fontId="0" fillId="0" borderId="0" xfId="1" applyNumberFormat="1" applyFont="1"/>
    <xf numFmtId="171" fontId="0" fillId="0" borderId="0" xfId="1" applyNumberFormat="1" applyFont="1" applyAlignment="1">
      <alignment wrapText="1"/>
    </xf>
    <xf numFmtId="0" fontId="32" fillId="0" borderId="0" xfId="6"/>
    <xf numFmtId="0" fontId="29" fillId="0" borderId="63" xfId="6" applyFont="1" applyBorder="1" applyAlignment="1">
      <alignment horizontal="center" vertical="center"/>
    </xf>
    <xf numFmtId="0" fontId="29" fillId="0" borderId="64" xfId="6" applyFont="1" applyBorder="1" applyAlignment="1">
      <alignment horizontal="center" vertical="center"/>
    </xf>
    <xf numFmtId="0" fontId="33" fillId="0" borderId="65" xfId="6" applyFont="1" applyBorder="1" applyAlignment="1">
      <alignment horizontal="center" wrapText="1"/>
    </xf>
    <xf numFmtId="0" fontId="33" fillId="0" borderId="66" xfId="6" applyFont="1" applyBorder="1" applyAlignment="1">
      <alignment horizontal="center" wrapText="1"/>
    </xf>
    <xf numFmtId="0" fontId="33" fillId="0" borderId="67" xfId="6" applyFont="1" applyBorder="1" applyAlignment="1">
      <alignment horizontal="center" wrapText="1"/>
    </xf>
    <xf numFmtId="169" fontId="33" fillId="0" borderId="70" xfId="6" applyNumberFormat="1" applyFont="1" applyBorder="1" applyAlignment="1">
      <alignment horizontal="right" vertical="top"/>
    </xf>
    <xf numFmtId="169" fontId="33" fillId="0" borderId="71" xfId="6" applyNumberFormat="1" applyFont="1" applyBorder="1" applyAlignment="1">
      <alignment horizontal="right" vertical="top"/>
    </xf>
    <xf numFmtId="169" fontId="33" fillId="0" borderId="72" xfId="6" applyNumberFormat="1" applyFont="1" applyBorder="1" applyAlignment="1">
      <alignment horizontal="right" vertical="top"/>
    </xf>
    <xf numFmtId="0" fontId="33" fillId="0" borderId="74" xfId="6" applyFont="1" applyBorder="1" applyAlignment="1">
      <alignment horizontal="left" vertical="top" wrapText="1"/>
    </xf>
    <xf numFmtId="172" fontId="33" fillId="0" borderId="75" xfId="6" applyNumberFormat="1" applyFont="1" applyBorder="1" applyAlignment="1">
      <alignment horizontal="right" vertical="top"/>
    </xf>
    <xf numFmtId="172" fontId="33" fillId="0" borderId="76" xfId="6" applyNumberFormat="1" applyFont="1" applyBorder="1" applyAlignment="1">
      <alignment horizontal="right" vertical="top"/>
    </xf>
    <xf numFmtId="172" fontId="33" fillId="0" borderId="77" xfId="6" applyNumberFormat="1" applyFont="1" applyBorder="1" applyAlignment="1">
      <alignment horizontal="right" vertical="top"/>
    </xf>
    <xf numFmtId="173" fontId="33" fillId="0" borderId="75" xfId="6" applyNumberFormat="1" applyFont="1" applyBorder="1" applyAlignment="1">
      <alignment horizontal="right" vertical="top"/>
    </xf>
    <xf numFmtId="173" fontId="33" fillId="0" borderId="76" xfId="6" applyNumberFormat="1" applyFont="1" applyBorder="1" applyAlignment="1">
      <alignment horizontal="right" vertical="top"/>
    </xf>
    <xf numFmtId="173" fontId="33" fillId="0" borderId="77" xfId="6" applyNumberFormat="1" applyFont="1" applyBorder="1" applyAlignment="1">
      <alignment horizontal="right" vertical="top"/>
    </xf>
    <xf numFmtId="170" fontId="33" fillId="0" borderId="75" xfId="6" applyNumberFormat="1" applyFont="1" applyBorder="1" applyAlignment="1">
      <alignment horizontal="right" vertical="top"/>
    </xf>
    <xf numFmtId="170" fontId="33" fillId="0" borderId="76" xfId="6" applyNumberFormat="1" applyFont="1" applyBorder="1" applyAlignment="1">
      <alignment horizontal="right" vertical="top"/>
    </xf>
    <xf numFmtId="170" fontId="33" fillId="0" borderId="77" xfId="6" applyNumberFormat="1" applyFont="1" applyBorder="1" applyAlignment="1">
      <alignment horizontal="right" vertical="top"/>
    </xf>
    <xf numFmtId="170" fontId="33" fillId="0" borderId="81" xfId="6" applyNumberFormat="1" applyFont="1" applyBorder="1" applyAlignment="1">
      <alignment horizontal="right" vertical="top"/>
    </xf>
    <xf numFmtId="170" fontId="33" fillId="0" borderId="82" xfId="6" applyNumberFormat="1" applyFont="1" applyBorder="1" applyAlignment="1">
      <alignment horizontal="right" vertical="top"/>
    </xf>
    <xf numFmtId="170" fontId="33" fillId="0" borderId="83" xfId="6" applyNumberFormat="1" applyFont="1" applyBorder="1" applyAlignment="1">
      <alignment horizontal="right" vertical="top"/>
    </xf>
    <xf numFmtId="2" fontId="0" fillId="0" borderId="0" xfId="0" applyNumberFormat="1"/>
    <xf numFmtId="0" fontId="0" fillId="10" borderId="0" xfId="0" applyFill="1"/>
    <xf numFmtId="0" fontId="25" fillId="0" borderId="0" xfId="0" applyFont="1" applyFill="1" applyBorder="1" applyAlignment="1">
      <alignment vertical="center"/>
    </xf>
    <xf numFmtId="0" fontId="3" fillId="15" borderId="0" xfId="0" applyFont="1" applyFill="1" applyBorder="1"/>
    <xf numFmtId="0" fontId="3" fillId="16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 applyBorder="1"/>
    <xf numFmtId="0" fontId="16" fillId="0" borderId="0" xfId="0" applyFont="1" applyFill="1"/>
    <xf numFmtId="0" fontId="8" fillId="0" borderId="0" xfId="0" applyFont="1" applyFill="1" applyAlignment="1"/>
    <xf numFmtId="0" fontId="3" fillId="0" borderId="0" xfId="0" applyFont="1" applyAlignment="1">
      <alignment horizontal="left"/>
    </xf>
    <xf numFmtId="0" fontId="16" fillId="0" borderId="0" xfId="0" applyFont="1" applyFill="1" applyAlignment="1"/>
    <xf numFmtId="2" fontId="16" fillId="0" borderId="0" xfId="0" applyNumberFormat="1" applyFont="1" applyFill="1"/>
    <xf numFmtId="0" fontId="0" fillId="0" borderId="0" xfId="0" applyAlignment="1">
      <alignment horizontal="left"/>
    </xf>
    <xf numFmtId="0" fontId="16" fillId="0" borderId="0" xfId="0" applyFont="1" applyFill="1" applyAlignment="1">
      <alignment horizontal="left"/>
    </xf>
    <xf numFmtId="0" fontId="30" fillId="0" borderId="66" xfId="3" applyFont="1" applyBorder="1" applyAlignment="1">
      <alignment horizontal="center" vertical="center" wrapText="1"/>
    </xf>
    <xf numFmtId="0" fontId="30" fillId="0" borderId="67" xfId="3" applyFont="1" applyBorder="1" applyAlignment="1">
      <alignment horizontal="center" vertical="center" wrapText="1"/>
    </xf>
    <xf numFmtId="0" fontId="30" fillId="0" borderId="65" xfId="3" applyFont="1" applyBorder="1" applyAlignment="1">
      <alignment horizontal="center" vertical="center" wrapText="1"/>
    </xf>
    <xf numFmtId="0" fontId="0" fillId="0" borderId="44" xfId="0" applyBorder="1"/>
    <xf numFmtId="0" fontId="0" fillId="0" borderId="44" xfId="0" applyBorder="1" applyAlignment="1">
      <alignment vertical="center" wrapText="1"/>
    </xf>
    <xf numFmtId="0" fontId="0" fillId="0" borderId="44" xfId="0" applyBorder="1" applyAlignment="1">
      <alignment horizontal="center" vertical="center"/>
    </xf>
    <xf numFmtId="10" fontId="0" fillId="0" borderId="44" xfId="2" applyNumberFormat="1" applyFont="1" applyBorder="1" applyAlignment="1">
      <alignment horizontal="center" vertical="center"/>
    </xf>
    <xf numFmtId="0" fontId="3" fillId="10" borderId="45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31" fillId="0" borderId="73" xfId="3" applyFont="1" applyBorder="1" applyAlignment="1">
      <alignment horizontal="left" vertical="top" wrapText="1"/>
    </xf>
    <xf numFmtId="0" fontId="29" fillId="0" borderId="73" xfId="3" applyFont="1" applyBorder="1" applyAlignment="1">
      <alignment horizontal="center" vertical="center"/>
    </xf>
    <xf numFmtId="0" fontId="30" fillId="0" borderId="73" xfId="3" applyFont="1" applyBorder="1" applyAlignment="1">
      <alignment horizontal="left" vertical="top" wrapText="1"/>
    </xf>
    <xf numFmtId="0" fontId="30" fillId="0" borderId="78" xfId="3" applyFont="1" applyBorder="1" applyAlignment="1">
      <alignment horizontal="left" vertical="top" wrapText="1"/>
    </xf>
    <xf numFmtId="0" fontId="29" fillId="0" borderId="74" xfId="3" applyFont="1" applyBorder="1" applyAlignment="1">
      <alignment horizontal="center" vertical="center"/>
    </xf>
    <xf numFmtId="0" fontId="30" fillId="0" borderId="79" xfId="3" applyFont="1" applyBorder="1" applyAlignment="1">
      <alignment horizontal="left" vertical="top" wrapText="1"/>
    </xf>
    <xf numFmtId="0" fontId="29" fillId="0" borderId="80" xfId="3" applyFont="1" applyBorder="1" applyAlignment="1">
      <alignment horizontal="center" vertical="center"/>
    </xf>
    <xf numFmtId="0" fontId="29" fillId="0" borderId="0" xfId="3" applyFont="1" applyBorder="1" applyAlignment="1">
      <alignment horizontal="center" vertical="center" wrapText="1"/>
    </xf>
    <xf numFmtId="0" fontId="29" fillId="0" borderId="0" xfId="3" applyFont="1" applyBorder="1" applyAlignment="1">
      <alignment horizontal="center" vertical="center"/>
    </xf>
    <xf numFmtId="0" fontId="30" fillId="0" borderId="68" xfId="3" applyFont="1" applyBorder="1" applyAlignment="1">
      <alignment horizontal="left" vertical="top" wrapText="1"/>
    </xf>
    <xf numFmtId="0" fontId="29" fillId="0" borderId="69" xfId="3" applyFont="1" applyBorder="1" applyAlignment="1">
      <alignment horizontal="center" vertical="center"/>
    </xf>
    <xf numFmtId="0" fontId="37" fillId="0" borderId="63" xfId="3" applyFont="1" applyBorder="1" applyAlignment="1">
      <alignment horizontal="center" vertical="center"/>
    </xf>
    <xf numFmtId="0" fontId="37" fillId="0" borderId="64" xfId="3" applyFont="1" applyBorder="1" applyAlignment="1">
      <alignment horizontal="center" vertical="center"/>
    </xf>
    <xf numFmtId="0" fontId="33" fillId="0" borderId="78" xfId="6" applyFont="1" applyBorder="1" applyAlignment="1">
      <alignment horizontal="left" vertical="top" wrapText="1"/>
    </xf>
    <xf numFmtId="0" fontId="29" fillId="0" borderId="74" xfId="6" applyFont="1" applyBorder="1" applyAlignment="1">
      <alignment horizontal="center" vertical="center"/>
    </xf>
    <xf numFmtId="0" fontId="33" fillId="0" borderId="79" xfId="6" applyFont="1" applyBorder="1" applyAlignment="1">
      <alignment horizontal="left" vertical="top" wrapText="1"/>
    </xf>
    <xf numFmtId="0" fontId="29" fillId="0" borderId="80" xfId="6" applyFont="1" applyBorder="1" applyAlignment="1">
      <alignment horizontal="center" vertical="center"/>
    </xf>
    <xf numFmtId="0" fontId="29" fillId="0" borderId="0" xfId="6" applyFont="1" applyBorder="1" applyAlignment="1">
      <alignment horizontal="center" vertical="center" wrapText="1"/>
    </xf>
    <xf numFmtId="0" fontId="29" fillId="0" borderId="0" xfId="6" applyFont="1" applyBorder="1" applyAlignment="1">
      <alignment horizontal="center" vertical="center"/>
    </xf>
    <xf numFmtId="0" fontId="33" fillId="0" borderId="68" xfId="6" applyFont="1" applyBorder="1" applyAlignment="1">
      <alignment horizontal="left" vertical="top" wrapText="1"/>
    </xf>
    <xf numFmtId="0" fontId="29" fillId="0" borderId="69" xfId="6" applyFont="1" applyBorder="1" applyAlignment="1">
      <alignment horizontal="center" vertical="center"/>
    </xf>
    <xf numFmtId="0" fontId="36" fillId="0" borderId="73" xfId="6" applyFont="1" applyBorder="1" applyAlignment="1">
      <alignment horizontal="left" vertical="top" wrapText="1"/>
    </xf>
    <xf numFmtId="0" fontId="29" fillId="0" borderId="73" xfId="6" applyFont="1" applyBorder="1" applyAlignment="1">
      <alignment horizontal="center" vertical="center"/>
    </xf>
    <xf numFmtId="0" fontId="33" fillId="0" borderId="73" xfId="6" applyFont="1" applyBorder="1" applyAlignment="1">
      <alignment horizontal="left" vertical="top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30" xfId="0" applyFont="1" applyFill="1" applyBorder="1" applyAlignment="1">
      <alignment horizontal="left" vertical="center" wrapText="1"/>
    </xf>
    <xf numFmtId="0" fontId="12" fillId="2" borderId="31" xfId="0" applyFont="1" applyFill="1" applyBorder="1" applyAlignment="1">
      <alignment horizontal="left" vertical="center" wrapText="1"/>
    </xf>
    <xf numFmtId="166" fontId="18" fillId="2" borderId="24" xfId="0" applyNumberFormat="1" applyFont="1" applyFill="1" applyBorder="1" applyAlignment="1" applyProtection="1">
      <alignment horizontal="right" vertical="center"/>
      <protection locked="0"/>
    </xf>
    <xf numFmtId="166" fontId="18" fillId="2" borderId="30" xfId="0" applyNumberFormat="1" applyFont="1" applyFill="1" applyBorder="1" applyAlignment="1" applyProtection="1">
      <alignment horizontal="right" vertical="center"/>
      <protection locked="0"/>
    </xf>
    <xf numFmtId="166" fontId="18" fillId="2" borderId="31" xfId="0" applyNumberFormat="1" applyFont="1" applyFill="1" applyBorder="1" applyAlignment="1" applyProtection="1">
      <alignment horizontal="right" vertical="center"/>
      <protection locked="0"/>
    </xf>
    <xf numFmtId="9" fontId="19" fillId="2" borderId="24" xfId="0" applyNumberFormat="1" applyFont="1" applyFill="1" applyBorder="1" applyAlignment="1" applyProtection="1">
      <alignment horizontal="center" vertical="center"/>
      <protection hidden="1"/>
    </xf>
    <xf numFmtId="9" fontId="19" fillId="2" borderId="30" xfId="0" applyNumberFormat="1" applyFont="1" applyFill="1" applyBorder="1" applyAlignment="1" applyProtection="1">
      <alignment horizontal="center" vertical="center"/>
      <protection hidden="1"/>
    </xf>
    <xf numFmtId="9" fontId="19" fillId="2" borderId="41" xfId="0" applyNumberFormat="1" applyFont="1" applyFill="1" applyBorder="1" applyAlignment="1" applyProtection="1">
      <alignment horizontal="center" vertical="center"/>
      <protection hidden="1"/>
    </xf>
    <xf numFmtId="0" fontId="10" fillId="2" borderId="24" xfId="0" applyFont="1" applyFill="1" applyBorder="1" applyAlignment="1" applyProtection="1">
      <alignment horizontal="right" vertical="center"/>
      <protection locked="0"/>
    </xf>
    <xf numFmtId="0" fontId="10" fillId="2" borderId="30" xfId="0" applyFont="1" applyFill="1" applyBorder="1" applyAlignment="1" applyProtection="1">
      <alignment horizontal="right" vertical="center"/>
      <protection locked="0"/>
    </xf>
    <xf numFmtId="0" fontId="10" fillId="2" borderId="31" xfId="0" applyFont="1" applyFill="1" applyBorder="1" applyAlignment="1" applyProtection="1">
      <alignment horizontal="right" vertical="center"/>
      <protection locked="0"/>
    </xf>
    <xf numFmtId="9" fontId="13" fillId="2" borderId="18" xfId="0" applyNumberFormat="1" applyFont="1" applyFill="1" applyBorder="1" applyAlignment="1" applyProtection="1">
      <alignment horizontal="center" vertical="center"/>
      <protection hidden="1"/>
    </xf>
    <xf numFmtId="9" fontId="13" fillId="2" borderId="19" xfId="0" applyNumberFormat="1" applyFont="1" applyFill="1" applyBorder="1" applyAlignment="1" applyProtection="1">
      <alignment horizontal="center" vertical="center"/>
      <protection hidden="1"/>
    </xf>
    <xf numFmtId="9" fontId="13" fillId="2" borderId="26" xfId="0" applyNumberFormat="1" applyFont="1" applyFill="1" applyBorder="1" applyAlignment="1" applyProtection="1">
      <alignment horizontal="center" vertical="center"/>
      <protection hidden="1"/>
    </xf>
    <xf numFmtId="9" fontId="13" fillId="2" borderId="32" xfId="0" applyNumberFormat="1" applyFont="1" applyFill="1" applyBorder="1" applyAlignment="1" applyProtection="1">
      <alignment horizontal="center" vertical="center"/>
      <protection hidden="1"/>
    </xf>
    <xf numFmtId="9" fontId="13" fillId="2" borderId="33" xfId="0" applyNumberFormat="1" applyFont="1" applyFill="1" applyBorder="1" applyAlignment="1" applyProtection="1">
      <alignment horizontal="center" vertical="center"/>
      <protection hidden="1"/>
    </xf>
    <xf numFmtId="9" fontId="13" fillId="2" borderId="34" xfId="0" applyNumberFormat="1" applyFont="1" applyFill="1" applyBorder="1" applyAlignment="1" applyProtection="1">
      <alignment horizontal="center" vertical="center"/>
      <protection hidden="1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13" fillId="2" borderId="24" xfId="0" applyFont="1" applyFill="1" applyBorder="1" applyAlignment="1" applyProtection="1">
      <alignment horizontal="right" vertical="center"/>
      <protection locked="0"/>
    </xf>
    <xf numFmtId="0" fontId="13" fillId="2" borderId="30" xfId="0" applyFont="1" applyFill="1" applyBorder="1" applyAlignment="1" applyProtection="1">
      <alignment horizontal="right" vertical="center"/>
      <protection locked="0"/>
    </xf>
    <xf numFmtId="0" fontId="13" fillId="2" borderId="31" xfId="0" applyFont="1" applyFill="1" applyBorder="1" applyAlignment="1" applyProtection="1">
      <alignment horizontal="right" vertical="center"/>
      <protection locked="0"/>
    </xf>
    <xf numFmtId="9" fontId="13" fillId="2" borderId="24" xfId="0" applyNumberFormat="1" applyFont="1" applyFill="1" applyBorder="1" applyAlignment="1" applyProtection="1">
      <alignment horizontal="left" vertical="center"/>
      <protection hidden="1"/>
    </xf>
    <xf numFmtId="9" fontId="13" fillId="2" borderId="31" xfId="0" applyNumberFormat="1" applyFont="1" applyFill="1" applyBorder="1" applyAlignment="1" applyProtection="1">
      <alignment horizontal="left" vertical="center"/>
      <protection hidden="1"/>
    </xf>
    <xf numFmtId="9" fontId="13" fillId="2" borderId="24" xfId="0" applyNumberFormat="1" applyFont="1" applyFill="1" applyBorder="1" applyAlignment="1" applyProtection="1">
      <alignment horizontal="right" vertical="center"/>
      <protection locked="0"/>
    </xf>
    <xf numFmtId="0" fontId="13" fillId="2" borderId="41" xfId="0" applyFont="1" applyFill="1" applyBorder="1" applyAlignment="1" applyProtection="1">
      <alignment horizontal="right" vertical="center"/>
      <protection locked="0"/>
    </xf>
    <xf numFmtId="0" fontId="12" fillId="8" borderId="24" xfId="0" applyFont="1" applyFill="1" applyBorder="1" applyAlignment="1">
      <alignment horizontal="left" vertical="center" wrapText="1"/>
    </xf>
    <xf numFmtId="0" fontId="12" fillId="8" borderId="30" xfId="0" applyFont="1" applyFill="1" applyBorder="1" applyAlignment="1">
      <alignment horizontal="left" vertical="center" wrapText="1"/>
    </xf>
    <xf numFmtId="0" fontId="12" fillId="8" borderId="31" xfId="0" applyFont="1" applyFill="1" applyBorder="1" applyAlignment="1">
      <alignment horizontal="left" vertical="center" wrapText="1"/>
    </xf>
    <xf numFmtId="0" fontId="13" fillId="2" borderId="23" xfId="0" applyFont="1" applyFill="1" applyBorder="1" applyAlignment="1" applyProtection="1">
      <alignment horizontal="right"/>
      <protection locked="0"/>
    </xf>
    <xf numFmtId="0" fontId="13" fillId="2" borderId="24" xfId="0" applyFont="1" applyFill="1" applyBorder="1" applyAlignment="1" applyProtection="1">
      <alignment horizontal="right"/>
      <protection locked="0"/>
    </xf>
    <xf numFmtId="0" fontId="13" fillId="2" borderId="24" xfId="0" applyFont="1" applyFill="1" applyBorder="1" applyAlignment="1">
      <alignment horizontal="right"/>
    </xf>
    <xf numFmtId="0" fontId="13" fillId="2" borderId="31" xfId="0" applyFont="1" applyFill="1" applyBorder="1" applyAlignment="1">
      <alignment horizontal="right"/>
    </xf>
    <xf numFmtId="0" fontId="0" fillId="2" borderId="24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23" xfId="0" applyFill="1" applyBorder="1" applyAlignment="1">
      <alignment horizontal="right"/>
    </xf>
    <xf numFmtId="0" fontId="0" fillId="2" borderId="25" xfId="0" applyFill="1" applyBorder="1" applyAlignment="1">
      <alignment horizontal="right"/>
    </xf>
    <xf numFmtId="0" fontId="13" fillId="2" borderId="24" xfId="0" applyFont="1" applyFill="1" applyBorder="1" applyAlignment="1" applyProtection="1">
      <alignment horizontal="right" vertical="center" wrapText="1"/>
      <protection locked="0"/>
    </xf>
    <xf numFmtId="0" fontId="13" fillId="2" borderId="30" xfId="0" applyFont="1" applyFill="1" applyBorder="1" applyAlignment="1" applyProtection="1">
      <alignment horizontal="right" vertical="center" wrapText="1"/>
      <protection locked="0"/>
    </xf>
    <xf numFmtId="0" fontId="13" fillId="2" borderId="31" xfId="0" applyFont="1" applyFill="1" applyBorder="1" applyAlignment="1" applyProtection="1">
      <alignment horizontal="right" vertical="center" wrapText="1"/>
      <protection locked="0"/>
    </xf>
    <xf numFmtId="0" fontId="10" fillId="2" borderId="24" xfId="0" applyFont="1" applyFill="1" applyBorder="1" applyAlignment="1">
      <alignment horizontal="left" vertical="top" wrapText="1"/>
    </xf>
    <xf numFmtId="0" fontId="10" fillId="2" borderId="30" xfId="0" applyFont="1" applyFill="1" applyBorder="1" applyAlignment="1">
      <alignment horizontal="left" vertical="top" wrapText="1"/>
    </xf>
    <xf numFmtId="0" fontId="10" fillId="2" borderId="41" xfId="0" applyFont="1" applyFill="1" applyBorder="1" applyAlignment="1">
      <alignment horizontal="left" vertical="top" wrapText="1"/>
    </xf>
    <xf numFmtId="0" fontId="13" fillId="2" borderId="30" xfId="0" applyFont="1" applyFill="1" applyBorder="1" applyAlignment="1">
      <alignment horizontal="right"/>
    </xf>
    <xf numFmtId="0" fontId="10" fillId="2" borderId="24" xfId="0" applyFont="1" applyFill="1" applyBorder="1" applyAlignment="1">
      <alignment horizontal="center"/>
    </xf>
    <xf numFmtId="0" fontId="10" fillId="2" borderId="41" xfId="0" applyFont="1" applyFill="1" applyBorder="1" applyAlignment="1">
      <alignment horizontal="center"/>
    </xf>
    <xf numFmtId="10" fontId="13" fillId="2" borderId="23" xfId="2" applyNumberFormat="1" applyFont="1" applyFill="1" applyBorder="1" applyAlignment="1" applyProtection="1">
      <alignment horizontal="right"/>
      <protection locked="0"/>
    </xf>
    <xf numFmtId="10" fontId="13" fillId="2" borderId="24" xfId="2" applyNumberFormat="1" applyFont="1" applyFill="1" applyBorder="1" applyAlignment="1" applyProtection="1">
      <alignment horizontal="right"/>
      <protection locked="0"/>
    </xf>
    <xf numFmtId="10" fontId="13" fillId="2" borderId="24" xfId="2" applyNumberFormat="1" applyFont="1" applyFill="1" applyBorder="1" applyAlignment="1" applyProtection="1">
      <alignment horizontal="right" vertical="center"/>
      <protection locked="0"/>
    </xf>
    <xf numFmtId="10" fontId="13" fillId="2" borderId="30" xfId="2" applyNumberFormat="1" applyFont="1" applyFill="1" applyBorder="1" applyAlignment="1" applyProtection="1">
      <alignment horizontal="right" vertical="center"/>
      <protection locked="0"/>
    </xf>
    <xf numFmtId="10" fontId="13" fillId="2" borderId="31" xfId="2" applyNumberFormat="1" applyFont="1" applyFill="1" applyBorder="1" applyAlignment="1" applyProtection="1">
      <alignment horizontal="right" vertical="center"/>
      <protection locked="0"/>
    </xf>
    <xf numFmtId="0" fontId="3" fillId="7" borderId="23" xfId="0" applyFont="1" applyFill="1" applyBorder="1" applyAlignment="1">
      <alignment horizontal="left" vertical="center"/>
    </xf>
    <xf numFmtId="0" fontId="13" fillId="7" borderId="23" xfId="0" applyFont="1" applyFill="1" applyBorder="1" applyAlignment="1">
      <alignment horizontal="right"/>
    </xf>
    <xf numFmtId="0" fontId="13" fillId="7" borderId="24" xfId="0" applyFont="1" applyFill="1" applyBorder="1" applyAlignment="1">
      <alignment horizontal="right"/>
    </xf>
    <xf numFmtId="10" fontId="13" fillId="2" borderId="23" xfId="0" applyNumberFormat="1" applyFont="1" applyFill="1" applyBorder="1" applyAlignment="1" applyProtection="1">
      <alignment horizontal="right"/>
      <protection locked="0"/>
    </xf>
    <xf numFmtId="0" fontId="12" fillId="8" borderId="23" xfId="0" applyFont="1" applyFill="1" applyBorder="1" applyAlignment="1">
      <alignment horizontal="left" vertical="center" wrapText="1"/>
    </xf>
    <xf numFmtId="10" fontId="13" fillId="2" borderId="24" xfId="0" applyNumberFormat="1" applyFont="1" applyFill="1" applyBorder="1" applyAlignment="1" applyProtection="1">
      <alignment horizontal="right" vertical="center"/>
      <protection locked="0"/>
    </xf>
    <xf numFmtId="0" fontId="0" fillId="7" borderId="23" xfId="0" applyFill="1" applyBorder="1" applyAlignment="1">
      <alignment horizontal="right"/>
    </xf>
    <xf numFmtId="0" fontId="0" fillId="7" borderId="24" xfId="0" applyFill="1" applyBorder="1" applyAlignment="1">
      <alignment horizontal="right"/>
    </xf>
    <xf numFmtId="0" fontId="2" fillId="6" borderId="35" xfId="0" applyFont="1" applyFill="1" applyBorder="1" applyAlignment="1">
      <alignment horizontal="center"/>
    </xf>
    <xf numFmtId="0" fontId="4" fillId="6" borderId="36" xfId="0" applyFont="1" applyFill="1" applyBorder="1"/>
    <xf numFmtId="0" fontId="4" fillId="6" borderId="37" xfId="0" applyFont="1" applyFill="1" applyBorder="1"/>
    <xf numFmtId="0" fontId="12" fillId="2" borderId="23" xfId="0" applyFont="1" applyFill="1" applyBorder="1" applyAlignment="1">
      <alignment horizontal="left" vertical="center" wrapText="1"/>
    </xf>
    <xf numFmtId="0" fontId="2" fillId="6" borderId="23" xfId="0" applyFont="1" applyFill="1" applyBorder="1" applyAlignment="1">
      <alignment horizontal="left" vertical="center"/>
    </xf>
    <xf numFmtId="0" fontId="4" fillId="6" borderId="23" xfId="0" applyFont="1" applyFill="1" applyBorder="1" applyAlignment="1">
      <alignment horizontal="right"/>
    </xf>
    <xf numFmtId="0" fontId="4" fillId="6" borderId="24" xfId="0" applyFont="1" applyFill="1" applyBorder="1" applyAlignment="1">
      <alignment horizontal="right"/>
    </xf>
    <xf numFmtId="10" fontId="13" fillId="2" borderId="24" xfId="0" applyNumberFormat="1" applyFont="1" applyFill="1" applyBorder="1" applyAlignment="1" applyProtection="1">
      <alignment horizontal="right"/>
      <protection locked="0"/>
    </xf>
    <xf numFmtId="10" fontId="13" fillId="2" borderId="30" xfId="0" applyNumberFormat="1" applyFont="1" applyFill="1" applyBorder="1" applyAlignment="1" applyProtection="1">
      <alignment horizontal="right"/>
      <protection locked="0"/>
    </xf>
    <xf numFmtId="10" fontId="13" fillId="2" borderId="31" xfId="0" applyNumberFormat="1" applyFont="1" applyFill="1" applyBorder="1" applyAlignment="1" applyProtection="1">
      <alignment horizontal="right"/>
      <protection locked="0"/>
    </xf>
    <xf numFmtId="9" fontId="13" fillId="2" borderId="23" xfId="2" applyFont="1" applyFill="1" applyBorder="1" applyAlignment="1" applyProtection="1">
      <alignment horizontal="right"/>
      <protection locked="0"/>
    </xf>
    <xf numFmtId="9" fontId="13" fillId="2" borderId="24" xfId="2" applyFont="1" applyFill="1" applyBorder="1" applyAlignment="1" applyProtection="1">
      <alignment horizontal="right"/>
      <protection locked="0"/>
    </xf>
    <xf numFmtId="0" fontId="0" fillId="8" borderId="23" xfId="0" applyFill="1" applyBorder="1"/>
    <xf numFmtId="0" fontId="24" fillId="14" borderId="15" xfId="0" applyFont="1" applyFill="1" applyBorder="1" applyAlignment="1">
      <alignment horizontal="center" vertical="center"/>
    </xf>
    <xf numFmtId="0" fontId="24" fillId="14" borderId="16" xfId="0" applyFont="1" applyFill="1" applyBorder="1" applyAlignment="1">
      <alignment horizontal="center" vertical="center"/>
    </xf>
    <xf numFmtId="0" fontId="24" fillId="14" borderId="17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right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2" fillId="12" borderId="15" xfId="0" applyFont="1" applyFill="1" applyBorder="1" applyAlignment="1">
      <alignment horizontal="left" vertical="center"/>
    </xf>
    <xf numFmtId="0" fontId="2" fillId="12" borderId="16" xfId="0" applyFont="1" applyFill="1" applyBorder="1" applyAlignment="1">
      <alignment horizontal="left" vertical="center"/>
    </xf>
    <xf numFmtId="0" fontId="2" fillId="12" borderId="17" xfId="0" applyFont="1" applyFill="1" applyBorder="1" applyAlignment="1">
      <alignment horizontal="left" vertical="center"/>
    </xf>
    <xf numFmtId="0" fontId="27" fillId="14" borderId="2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wrapText="1"/>
      <protection locked="0"/>
    </xf>
    <xf numFmtId="0" fontId="4" fillId="14" borderId="5" xfId="0" applyFont="1" applyFill="1" applyBorder="1" applyAlignment="1" applyProtection="1">
      <alignment wrapText="1"/>
      <protection locked="0"/>
    </xf>
    <xf numFmtId="0" fontId="4" fillId="14" borderId="0" xfId="0" applyFont="1" applyFill="1" applyBorder="1" applyAlignment="1" applyProtection="1">
      <alignment wrapText="1"/>
      <protection locked="0"/>
    </xf>
    <xf numFmtId="0" fontId="4" fillId="14" borderId="6" xfId="0" applyFont="1" applyFill="1" applyBorder="1" applyAlignment="1" applyProtection="1">
      <alignment wrapText="1"/>
      <protection locked="0"/>
    </xf>
    <xf numFmtId="0" fontId="4" fillId="14" borderId="7" xfId="0" applyFont="1" applyFill="1" applyBorder="1" applyAlignment="1" applyProtection="1">
      <alignment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3" fillId="13" borderId="62" xfId="0" applyFont="1" applyFill="1" applyBorder="1" applyAlignment="1" applyProtection="1">
      <alignment horizontal="left" vertical="center"/>
      <protection locked="0"/>
    </xf>
    <xf numFmtId="0" fontId="3" fillId="13" borderId="9" xfId="0" applyFont="1" applyFill="1" applyBorder="1" applyAlignment="1" applyProtection="1">
      <alignment horizontal="left" vertical="center"/>
      <protection locked="0"/>
    </xf>
    <xf numFmtId="0" fontId="3" fillId="13" borderId="13" xfId="0" applyFont="1" applyFill="1" applyBorder="1" applyAlignment="1" applyProtection="1">
      <alignment horizontal="left" vertical="center"/>
      <protection locked="0"/>
    </xf>
    <xf numFmtId="0" fontId="3" fillId="13" borderId="11" xfId="0" applyFont="1" applyFill="1" applyBorder="1" applyAlignment="1" applyProtection="1">
      <alignment horizontal="left" vertical="center"/>
      <protection locked="0"/>
    </xf>
    <xf numFmtId="0" fontId="3" fillId="13" borderId="12" xfId="0" applyFont="1" applyFill="1" applyBorder="1" applyAlignment="1" applyProtection="1">
      <alignment horizontal="left" vertical="center"/>
      <protection locked="0"/>
    </xf>
    <xf numFmtId="164" fontId="3" fillId="13" borderId="9" xfId="1" applyNumberFormat="1" applyFont="1" applyFill="1" applyBorder="1" applyAlignment="1" applyProtection="1">
      <alignment horizontal="left" vertical="center"/>
      <protection locked="0"/>
    </xf>
    <xf numFmtId="164" fontId="3" fillId="13" borderId="13" xfId="1" applyNumberFormat="1" applyFont="1" applyFill="1" applyBorder="1" applyAlignment="1" applyProtection="1">
      <alignment horizontal="left" vertical="center"/>
      <protection locked="0"/>
    </xf>
    <xf numFmtId="165" fontId="3" fillId="13" borderId="14" xfId="0" applyNumberFormat="1" applyFont="1" applyFill="1" applyBorder="1" applyAlignment="1" applyProtection="1">
      <alignment horizontal="left" vertical="center"/>
      <protection locked="0"/>
    </xf>
    <xf numFmtId="165" fontId="3" fillId="13" borderId="55" xfId="0" applyNumberFormat="1" applyFont="1" applyFill="1" applyBorder="1" applyAlignment="1" applyProtection="1">
      <alignment horizontal="left" vertical="center"/>
      <protection locked="0"/>
    </xf>
  </cellXfs>
  <cellStyles count="7">
    <cellStyle name="Comma" xfId="1" builtinId="3"/>
    <cellStyle name="Normal" xfId="0" builtinId="0"/>
    <cellStyle name="Normal 10" xfId="5"/>
    <cellStyle name="Normal_Range nilai financial growth" xfId="6"/>
    <cellStyle name="Normal_Sheet6" xfId="3"/>
    <cellStyle name="Normal_Uji Normalitas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156882</xdr:rowOff>
    </xdr:from>
    <xdr:to>
      <xdr:col>13</xdr:col>
      <xdr:colOff>33619</xdr:colOff>
      <xdr:row>8</xdr:row>
      <xdr:rowOff>67235</xdr:rowOff>
    </xdr:to>
    <xdr:grpSp>
      <xdr:nvGrpSpPr>
        <xdr:cNvPr id="2" name="Group 1"/>
        <xdr:cNvGrpSpPr/>
      </xdr:nvGrpSpPr>
      <xdr:grpSpPr>
        <a:xfrm>
          <a:off x="3429000" y="1299882"/>
          <a:ext cx="5488846" cy="291353"/>
          <a:chOff x="7956148" y="190500"/>
          <a:chExt cx="6014357" cy="217715"/>
        </a:xfrm>
      </xdr:grpSpPr>
      <xdr:sp macro="" textlink="">
        <xdr:nvSpPr>
          <xdr:cNvPr id="3" name="Right Arrow 2"/>
          <xdr:cNvSpPr/>
        </xdr:nvSpPr>
        <xdr:spPr>
          <a:xfrm>
            <a:off x="11276291" y="190500"/>
            <a:ext cx="2694214" cy="217715"/>
          </a:xfrm>
          <a:prstGeom prst="rightArrow">
            <a:avLst/>
          </a:prstGeom>
          <a:solidFill>
            <a:schemeClr val="accent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Left Arrow 3"/>
          <xdr:cNvSpPr/>
        </xdr:nvSpPr>
        <xdr:spPr>
          <a:xfrm>
            <a:off x="7956148" y="217715"/>
            <a:ext cx="2639786" cy="190500"/>
          </a:xfrm>
          <a:prstGeom prst="leftArrow">
            <a:avLst/>
          </a:prstGeom>
          <a:solidFill>
            <a:schemeClr val="accent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</xdr:row>
      <xdr:rowOff>76200</xdr:rowOff>
    </xdr:from>
    <xdr:to>
      <xdr:col>13</xdr:col>
      <xdr:colOff>342900</xdr:colOff>
      <xdr:row>4</xdr:row>
      <xdr:rowOff>133350</xdr:rowOff>
    </xdr:to>
    <xdr:pic>
      <xdr:nvPicPr>
        <xdr:cNvPr id="2" name="Picture 1" descr="LO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133350"/>
          <a:ext cx="971550" cy="43815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85</xdr:row>
      <xdr:rowOff>38100</xdr:rowOff>
    </xdr:from>
    <xdr:to>
      <xdr:col>4</xdr:col>
      <xdr:colOff>123825</xdr:colOff>
      <xdr:row>87</xdr:row>
      <xdr:rowOff>66675</xdr:rowOff>
    </xdr:to>
    <xdr:pic>
      <xdr:nvPicPr>
        <xdr:cNvPr id="3" name="Picture 1" descr="LO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688175"/>
          <a:ext cx="1390650" cy="40957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</xdr:colOff>
      <xdr:row>79</xdr:row>
      <xdr:rowOff>76201</xdr:rowOff>
    </xdr:from>
    <xdr:to>
      <xdr:col>8</xdr:col>
      <xdr:colOff>214313</xdr:colOff>
      <xdr:row>83</xdr:row>
      <xdr:rowOff>161925</xdr:rowOff>
    </xdr:to>
    <xdr:sp macro="" textlink="">
      <xdr:nvSpPr>
        <xdr:cNvPr id="4" name="Rectangle 3"/>
        <xdr:cNvSpPr/>
      </xdr:nvSpPr>
      <xdr:spPr>
        <a:xfrm>
          <a:off x="190500" y="18573751"/>
          <a:ext cx="4110038" cy="847724"/>
        </a:xfrm>
        <a:prstGeom prst="rect">
          <a:avLst/>
        </a:prstGeom>
        <a:ln>
          <a:solidFill>
            <a:srgbClr val="002060"/>
          </a:solidFill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en-US" sz="1100"/>
            <a:t>Apabila dalam</a:t>
          </a:r>
          <a:r>
            <a:rPr lang="en-US" sz="1100" baseline="0"/>
            <a:t> pelaksanaannya terdapat indikator yang dinilai cukup signifikan atau tidak sesuai dengan perkembangan pertumbuhan perbankan maka indikator tersebut harus direview sesuai kondisi real perbankan </a:t>
          </a:r>
          <a:r>
            <a:rPr lang="en-US" sz="1100"/>
            <a:t> </a:t>
          </a:r>
        </a:p>
      </xdr:txBody>
    </xdr:sp>
    <xdr:clientData/>
  </xdr:twoCellAnchor>
  <xdr:twoCellAnchor editAs="oneCell">
    <xdr:from>
      <xdr:col>1</xdr:col>
      <xdr:colOff>0</xdr:colOff>
      <xdr:row>5</xdr:row>
      <xdr:rowOff>9525</xdr:rowOff>
    </xdr:from>
    <xdr:to>
      <xdr:col>13</xdr:col>
      <xdr:colOff>28575</xdr:colOff>
      <xdr:row>5</xdr:row>
      <xdr:rowOff>38100</xdr:rowOff>
    </xdr:to>
    <xdr:sp macro="" textlink="">
      <xdr:nvSpPr>
        <xdr:cNvPr id="5" name="Image2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597471</xdr:colOff>
      <xdr:row>1</xdr:row>
      <xdr:rowOff>113585</xdr:rowOff>
    </xdr:from>
    <xdr:to>
      <xdr:col>14</xdr:col>
      <xdr:colOff>423272</xdr:colOff>
      <xdr:row>2</xdr:row>
      <xdr:rowOff>23938</xdr:rowOff>
    </xdr:to>
    <xdr:grpSp>
      <xdr:nvGrpSpPr>
        <xdr:cNvPr id="2" name="Group 1"/>
        <xdr:cNvGrpSpPr/>
      </xdr:nvGrpSpPr>
      <xdr:grpSpPr>
        <a:xfrm>
          <a:off x="5316676" y="304085"/>
          <a:ext cx="5826551" cy="291353"/>
          <a:chOff x="7956148" y="190500"/>
          <a:chExt cx="6014357" cy="217715"/>
        </a:xfrm>
      </xdr:grpSpPr>
      <xdr:sp macro="" textlink="">
        <xdr:nvSpPr>
          <xdr:cNvPr id="3" name="Right Arrow 2"/>
          <xdr:cNvSpPr/>
        </xdr:nvSpPr>
        <xdr:spPr>
          <a:xfrm>
            <a:off x="11276291" y="190500"/>
            <a:ext cx="2694214" cy="217715"/>
          </a:xfrm>
          <a:prstGeom prst="rightArrow">
            <a:avLst/>
          </a:prstGeom>
          <a:solidFill>
            <a:schemeClr val="accent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Left Arrow 3"/>
          <xdr:cNvSpPr/>
        </xdr:nvSpPr>
        <xdr:spPr>
          <a:xfrm>
            <a:off x="7956148" y="217715"/>
            <a:ext cx="2639786" cy="190500"/>
          </a:xfrm>
          <a:prstGeom prst="leftArrow">
            <a:avLst/>
          </a:prstGeom>
          <a:solidFill>
            <a:schemeClr val="accent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238125</xdr:colOff>
      <xdr:row>3</xdr:row>
      <xdr:rowOff>179676</xdr:rowOff>
    </xdr:from>
    <xdr:to>
      <xdr:col>26</xdr:col>
      <xdr:colOff>549853</xdr:colOff>
      <xdr:row>21</xdr:row>
      <xdr:rowOff>58449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099" t="13970" r="43251" b="19971"/>
        <a:stretch/>
      </xdr:blipFill>
      <xdr:spPr>
        <a:xfrm>
          <a:off x="23050500" y="751176"/>
          <a:ext cx="3407353" cy="4831773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156882</xdr:rowOff>
    </xdr:from>
    <xdr:to>
      <xdr:col>12</xdr:col>
      <xdr:colOff>33619</xdr:colOff>
      <xdr:row>2</xdr:row>
      <xdr:rowOff>67235</xdr:rowOff>
    </xdr:to>
    <xdr:grpSp>
      <xdr:nvGrpSpPr>
        <xdr:cNvPr id="5" name="Group 4"/>
        <xdr:cNvGrpSpPr/>
      </xdr:nvGrpSpPr>
      <xdr:grpSpPr>
        <a:xfrm>
          <a:off x="6645088" y="156882"/>
          <a:ext cx="5479678" cy="302559"/>
          <a:chOff x="7956148" y="190500"/>
          <a:chExt cx="6014357" cy="217715"/>
        </a:xfrm>
      </xdr:grpSpPr>
      <xdr:sp macro="" textlink="">
        <xdr:nvSpPr>
          <xdr:cNvPr id="3" name="Right Arrow 2"/>
          <xdr:cNvSpPr/>
        </xdr:nvSpPr>
        <xdr:spPr>
          <a:xfrm>
            <a:off x="11276291" y="190500"/>
            <a:ext cx="2694214" cy="217715"/>
          </a:xfrm>
          <a:prstGeom prst="rightArrow">
            <a:avLst/>
          </a:prstGeom>
          <a:solidFill>
            <a:schemeClr val="accent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Left Arrow 3"/>
          <xdr:cNvSpPr/>
        </xdr:nvSpPr>
        <xdr:spPr>
          <a:xfrm>
            <a:off x="7956148" y="217715"/>
            <a:ext cx="2639786" cy="190500"/>
          </a:xfrm>
          <a:prstGeom prst="leftArrow">
            <a:avLst/>
          </a:prstGeom>
          <a:solidFill>
            <a:schemeClr val="accent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238125</xdr:colOff>
      <xdr:row>3</xdr:row>
      <xdr:rowOff>179676</xdr:rowOff>
    </xdr:from>
    <xdr:to>
      <xdr:col>36</xdr:col>
      <xdr:colOff>549852</xdr:colOff>
      <xdr:row>15</xdr:row>
      <xdr:rowOff>439449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099" t="13970" r="43251" b="19971"/>
        <a:stretch/>
      </xdr:blipFill>
      <xdr:spPr>
        <a:xfrm>
          <a:off x="20593050" y="760701"/>
          <a:ext cx="3359728" cy="4831773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0</xdr:row>
      <xdr:rowOff>156882</xdr:rowOff>
    </xdr:from>
    <xdr:to>
      <xdr:col>22</xdr:col>
      <xdr:colOff>33619</xdr:colOff>
      <xdr:row>2</xdr:row>
      <xdr:rowOff>67235</xdr:rowOff>
    </xdr:to>
    <xdr:grpSp>
      <xdr:nvGrpSpPr>
        <xdr:cNvPr id="3" name="Group 2"/>
        <xdr:cNvGrpSpPr/>
      </xdr:nvGrpSpPr>
      <xdr:grpSpPr>
        <a:xfrm>
          <a:off x="16976912" y="156882"/>
          <a:ext cx="5479678" cy="302559"/>
          <a:chOff x="7956148" y="190500"/>
          <a:chExt cx="6014357" cy="217715"/>
        </a:xfrm>
      </xdr:grpSpPr>
      <xdr:sp macro="" textlink="">
        <xdr:nvSpPr>
          <xdr:cNvPr id="4" name="Right Arrow 3"/>
          <xdr:cNvSpPr/>
        </xdr:nvSpPr>
        <xdr:spPr>
          <a:xfrm>
            <a:off x="11276291" y="190500"/>
            <a:ext cx="2694214" cy="217715"/>
          </a:xfrm>
          <a:prstGeom prst="rightArrow">
            <a:avLst/>
          </a:prstGeom>
          <a:solidFill>
            <a:schemeClr val="accent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Left Arrow 4"/>
          <xdr:cNvSpPr/>
        </xdr:nvSpPr>
        <xdr:spPr>
          <a:xfrm>
            <a:off x="7956148" y="217715"/>
            <a:ext cx="2639786" cy="190500"/>
          </a:xfrm>
          <a:prstGeom prst="leftArrow">
            <a:avLst/>
          </a:prstGeom>
          <a:solidFill>
            <a:schemeClr val="accent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17318</xdr:colOff>
      <xdr:row>4</xdr:row>
      <xdr:rowOff>17318</xdr:rowOff>
    </xdr:from>
    <xdr:to>
      <xdr:col>21</xdr:col>
      <xdr:colOff>588818</xdr:colOff>
      <xdr:row>21</xdr:row>
      <xdr:rowOff>229467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301" t="18468" r="42056" b="7659"/>
        <a:stretch/>
      </xdr:blipFill>
      <xdr:spPr>
        <a:xfrm>
          <a:off x="23292954" y="1160318"/>
          <a:ext cx="3602182" cy="5403273"/>
        </a:xfrm>
        <a:prstGeom prst="rect">
          <a:avLst/>
        </a:prstGeom>
      </xdr:spPr>
    </xdr:pic>
    <xdr:clientData/>
  </xdr:twoCellAnchor>
  <xdr:twoCellAnchor>
    <xdr:from>
      <xdr:col>2</xdr:col>
      <xdr:colOff>5210735</xdr:colOff>
      <xdr:row>0</xdr:row>
      <xdr:rowOff>190499</xdr:rowOff>
    </xdr:from>
    <xdr:to>
      <xdr:col>12</xdr:col>
      <xdr:colOff>11206</xdr:colOff>
      <xdr:row>2</xdr:row>
      <xdr:rowOff>78440</xdr:rowOff>
    </xdr:to>
    <xdr:grpSp>
      <xdr:nvGrpSpPr>
        <xdr:cNvPr id="5" name="Group 4"/>
        <xdr:cNvGrpSpPr/>
      </xdr:nvGrpSpPr>
      <xdr:grpSpPr>
        <a:xfrm>
          <a:off x="9271747" y="190499"/>
          <a:ext cx="5452783" cy="280147"/>
          <a:chOff x="10544707" y="190500"/>
          <a:chExt cx="6014357" cy="217715"/>
        </a:xfrm>
      </xdr:grpSpPr>
      <xdr:sp macro="" textlink="">
        <xdr:nvSpPr>
          <xdr:cNvPr id="3" name="Right Arrow 2"/>
          <xdr:cNvSpPr/>
        </xdr:nvSpPr>
        <xdr:spPr>
          <a:xfrm>
            <a:off x="13864850" y="190500"/>
            <a:ext cx="2694214" cy="217715"/>
          </a:xfrm>
          <a:prstGeom prst="rightArrow">
            <a:avLst/>
          </a:prstGeom>
          <a:solidFill>
            <a:schemeClr val="accent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Left Arrow 3"/>
          <xdr:cNvSpPr/>
        </xdr:nvSpPr>
        <xdr:spPr>
          <a:xfrm>
            <a:off x="10544707" y="217715"/>
            <a:ext cx="2639786" cy="190500"/>
          </a:xfrm>
          <a:prstGeom prst="leftArrow">
            <a:avLst/>
          </a:prstGeom>
          <a:solidFill>
            <a:schemeClr val="accent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17318</xdr:colOff>
      <xdr:row>4</xdr:row>
      <xdr:rowOff>17318</xdr:rowOff>
    </xdr:from>
    <xdr:to>
      <xdr:col>31</xdr:col>
      <xdr:colOff>588817</xdr:colOff>
      <xdr:row>15</xdr:row>
      <xdr:rowOff>467264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301" t="18468" r="42056" b="7659"/>
        <a:stretch/>
      </xdr:blipFill>
      <xdr:spPr>
        <a:xfrm>
          <a:off x="29354318" y="1169843"/>
          <a:ext cx="3619499" cy="5403274"/>
        </a:xfrm>
        <a:prstGeom prst="rect">
          <a:avLst/>
        </a:prstGeom>
      </xdr:spPr>
    </xdr:pic>
    <xdr:clientData/>
  </xdr:twoCellAnchor>
  <xdr:twoCellAnchor>
    <xdr:from>
      <xdr:col>13</xdr:col>
      <xdr:colOff>560</xdr:colOff>
      <xdr:row>0</xdr:row>
      <xdr:rowOff>190499</xdr:rowOff>
    </xdr:from>
    <xdr:to>
      <xdr:col>22</xdr:col>
      <xdr:colOff>11206</xdr:colOff>
      <xdr:row>2</xdr:row>
      <xdr:rowOff>78440</xdr:rowOff>
    </xdr:to>
    <xdr:grpSp>
      <xdr:nvGrpSpPr>
        <xdr:cNvPr id="3" name="Group 2"/>
        <xdr:cNvGrpSpPr/>
      </xdr:nvGrpSpPr>
      <xdr:grpSpPr>
        <a:xfrm>
          <a:off x="15376631" y="190499"/>
          <a:ext cx="5521539" cy="282548"/>
          <a:chOff x="10544707" y="190500"/>
          <a:chExt cx="6014357" cy="217715"/>
        </a:xfrm>
      </xdr:grpSpPr>
      <xdr:sp macro="" textlink="">
        <xdr:nvSpPr>
          <xdr:cNvPr id="4" name="Right Arrow 3"/>
          <xdr:cNvSpPr/>
        </xdr:nvSpPr>
        <xdr:spPr>
          <a:xfrm>
            <a:off x="13864850" y="190500"/>
            <a:ext cx="2694214" cy="217715"/>
          </a:xfrm>
          <a:prstGeom prst="rightArrow">
            <a:avLst/>
          </a:prstGeom>
          <a:solidFill>
            <a:schemeClr val="accent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Left Arrow 4"/>
          <xdr:cNvSpPr/>
        </xdr:nvSpPr>
        <xdr:spPr>
          <a:xfrm>
            <a:off x="10544707" y="217715"/>
            <a:ext cx="2639786" cy="190500"/>
          </a:xfrm>
          <a:prstGeom prst="leftArrow">
            <a:avLst/>
          </a:prstGeom>
          <a:solidFill>
            <a:schemeClr val="accent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54429</xdr:colOff>
      <xdr:row>0</xdr:row>
      <xdr:rowOff>136072</xdr:rowOff>
    </xdr:from>
    <xdr:to>
      <xdr:col>11</xdr:col>
      <xdr:colOff>707571</xdr:colOff>
      <xdr:row>1</xdr:row>
      <xdr:rowOff>163287</xdr:rowOff>
    </xdr:to>
    <xdr:sp macro="" textlink="">
      <xdr:nvSpPr>
        <xdr:cNvPr id="2" name="Right Arrow 1"/>
        <xdr:cNvSpPr/>
      </xdr:nvSpPr>
      <xdr:spPr>
        <a:xfrm>
          <a:off x="12954000" y="136072"/>
          <a:ext cx="2694214" cy="217715"/>
        </a:xfrm>
        <a:prstGeom prst="rightArrow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108857</xdr:colOff>
      <xdr:row>0</xdr:row>
      <xdr:rowOff>163287</xdr:rowOff>
    </xdr:from>
    <xdr:to>
      <xdr:col>6</xdr:col>
      <xdr:colOff>666750</xdr:colOff>
      <xdr:row>1</xdr:row>
      <xdr:rowOff>163287</xdr:rowOff>
    </xdr:to>
    <xdr:sp macro="" textlink="">
      <xdr:nvSpPr>
        <xdr:cNvPr id="3" name="Left Arrow 2"/>
        <xdr:cNvSpPr/>
      </xdr:nvSpPr>
      <xdr:spPr>
        <a:xfrm>
          <a:off x="9633857" y="163287"/>
          <a:ext cx="2639786" cy="190500"/>
        </a:xfrm>
        <a:prstGeom prst="leftArrow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54429</xdr:colOff>
      <xdr:row>0</xdr:row>
      <xdr:rowOff>136072</xdr:rowOff>
    </xdr:from>
    <xdr:to>
      <xdr:col>20</xdr:col>
      <xdr:colOff>707571</xdr:colOff>
      <xdr:row>1</xdr:row>
      <xdr:rowOff>163287</xdr:rowOff>
    </xdr:to>
    <xdr:sp macro="" textlink="">
      <xdr:nvSpPr>
        <xdr:cNvPr id="2" name="Right Arrow 1"/>
        <xdr:cNvSpPr/>
      </xdr:nvSpPr>
      <xdr:spPr>
        <a:xfrm>
          <a:off x="7131504" y="136072"/>
          <a:ext cx="2681967" cy="217715"/>
        </a:xfrm>
        <a:prstGeom prst="rightArrow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108857</xdr:colOff>
      <xdr:row>0</xdr:row>
      <xdr:rowOff>163287</xdr:rowOff>
    </xdr:from>
    <xdr:to>
      <xdr:col>15</xdr:col>
      <xdr:colOff>666750</xdr:colOff>
      <xdr:row>1</xdr:row>
      <xdr:rowOff>163287</xdr:rowOff>
    </xdr:to>
    <xdr:sp macro="" textlink="">
      <xdr:nvSpPr>
        <xdr:cNvPr id="3" name="Left Arrow 2"/>
        <xdr:cNvSpPr/>
      </xdr:nvSpPr>
      <xdr:spPr>
        <a:xfrm>
          <a:off x="3833132" y="163287"/>
          <a:ext cx="2624818" cy="190500"/>
        </a:xfrm>
        <a:prstGeom prst="leftArrow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136072</xdr:rowOff>
    </xdr:from>
    <xdr:to>
      <xdr:col>7</xdr:col>
      <xdr:colOff>0</xdr:colOff>
      <xdr:row>1</xdr:row>
      <xdr:rowOff>163287</xdr:rowOff>
    </xdr:to>
    <xdr:sp macro="" textlink="">
      <xdr:nvSpPr>
        <xdr:cNvPr id="2" name="Right Arrow 1"/>
        <xdr:cNvSpPr/>
      </xdr:nvSpPr>
      <xdr:spPr>
        <a:xfrm>
          <a:off x="17428029" y="136072"/>
          <a:ext cx="2681967" cy="217715"/>
        </a:xfrm>
        <a:prstGeom prst="rightArrow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0</xdr:colOff>
      <xdr:row>0</xdr:row>
      <xdr:rowOff>163287</xdr:rowOff>
    </xdr:from>
    <xdr:to>
      <xdr:col>7</xdr:col>
      <xdr:colOff>0</xdr:colOff>
      <xdr:row>1</xdr:row>
      <xdr:rowOff>163287</xdr:rowOff>
    </xdr:to>
    <xdr:sp macro="" textlink="">
      <xdr:nvSpPr>
        <xdr:cNvPr id="3" name="Left Arrow 2"/>
        <xdr:cNvSpPr/>
      </xdr:nvSpPr>
      <xdr:spPr>
        <a:xfrm>
          <a:off x="14129657" y="163287"/>
          <a:ext cx="2624818" cy="190500"/>
        </a:xfrm>
        <a:prstGeom prst="leftArrow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405\Documents\My%20Received%20Files\Aplikasi%20CL%20coba-cob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%20Urang\PANDU\PANDU\Credit%20Line\Parameter\Aplikasi%20CL%20coba-cob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nrisk_2\Rating\Rating%20Internasional\Final%20Aplikasi%20Credit%20Line%20Bank%20Syariah%20Update%20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405\Documents\My%20Received%20Files\Final%20Aplikasi%20Credit%20Line%20Bank%20Dome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Local"/>
      <sheetName val="Result Local Bank"/>
      <sheetName val="Kesehatan"/>
      <sheetName val="Draft Template Foreign"/>
      <sheetName val="Result Foreign Bank"/>
      <sheetName val="Key Value"/>
      <sheetName val="Template Foreign"/>
      <sheetName val="Counterparty"/>
      <sheetName val="Indikator"/>
      <sheetName val="Data"/>
      <sheetName val="Indikator Bank"/>
      <sheetName val="Z-SCORE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">
          <cell r="A2" t="str">
            <v>Standard Chartered Bank</v>
          </cell>
        </row>
        <row r="3">
          <cell r="A3" t="str">
            <v>ABN Amro Bank</v>
          </cell>
          <cell r="K3" t="str">
            <v>BANK PEMERINTAH</v>
          </cell>
        </row>
        <row r="4">
          <cell r="A4" t="str">
            <v>Bangkok Bank</v>
          </cell>
          <cell r="K4" t="str">
            <v>BANK PEMBANGUNAN DAERAH</v>
          </cell>
        </row>
        <row r="5">
          <cell r="A5" t="str">
            <v>Citibank</v>
          </cell>
          <cell r="K5" t="str">
            <v>BANK SWASTA NASIONAL DEVISA</v>
          </cell>
        </row>
        <row r="6">
          <cell r="A6" t="str">
            <v>Deutsche Bank</v>
          </cell>
          <cell r="K6" t="str">
            <v>BANK UMUM SWASTA NASIONAL NON DEVISA</v>
          </cell>
        </row>
        <row r="7">
          <cell r="A7" t="str">
            <v>JP Morgan Chase Bank</v>
          </cell>
          <cell r="K7" t="str">
            <v>BANK CAMPURAN</v>
          </cell>
        </row>
        <row r="8">
          <cell r="A8" t="str">
            <v>Tokyo - Mitsubishi Bank</v>
          </cell>
          <cell r="K8" t="str">
            <v>BANK ASING</v>
          </cell>
        </row>
        <row r="9">
          <cell r="A9" t="str">
            <v>Hongkong Shanghai Bank Corporation</v>
          </cell>
        </row>
        <row r="10">
          <cell r="A10" t="str">
            <v>Commonwealth Bank</v>
          </cell>
        </row>
        <row r="11">
          <cell r="A11" t="str">
            <v>ANZ Panin Bank</v>
          </cell>
        </row>
        <row r="12">
          <cell r="A12" t="str">
            <v>OCBC - Indonesia</v>
          </cell>
        </row>
        <row r="13">
          <cell r="A13" t="str">
            <v>UOB Indonesia</v>
          </cell>
        </row>
        <row r="14">
          <cell r="A14" t="str">
            <v>Capital Indonesia</v>
          </cell>
        </row>
        <row r="15">
          <cell r="A15" t="str">
            <v>DBS Indonesia Bank</v>
          </cell>
        </row>
        <row r="16">
          <cell r="A16" t="str">
            <v xml:space="preserve">Mizuho Indonesia Bank </v>
          </cell>
        </row>
        <row r="17">
          <cell r="A17" t="str">
            <v>China Trust  Indonesia Bank</v>
          </cell>
        </row>
        <row r="18">
          <cell r="A18" t="str">
            <v>Resona Perdania  Bank</v>
          </cell>
        </row>
        <row r="19">
          <cell r="A19" t="str">
            <v>Bank ICBC Indonesia</v>
          </cell>
        </row>
        <row r="20">
          <cell r="A20" t="str">
            <v>BPD - DI. Aceh</v>
          </cell>
        </row>
        <row r="21">
          <cell r="A21" t="str">
            <v xml:space="preserve">BPD - Bali </v>
          </cell>
        </row>
        <row r="22">
          <cell r="A22" t="str">
            <v xml:space="preserve">BPD - Bengkulu </v>
          </cell>
        </row>
        <row r="23">
          <cell r="A23" t="str">
            <v xml:space="preserve">BPD - DI. Yogyakarta </v>
          </cell>
        </row>
        <row r="24">
          <cell r="A24" t="str">
            <v xml:space="preserve">BPD - DKI  Jakarta </v>
          </cell>
        </row>
        <row r="25">
          <cell r="A25" t="str">
            <v xml:space="preserve">BPD - Jambi </v>
          </cell>
        </row>
        <row r="26">
          <cell r="A26" t="str">
            <v xml:space="preserve">BPD - Jawa Tengah  </v>
          </cell>
        </row>
        <row r="27">
          <cell r="A27" t="str">
            <v xml:space="preserve">BPD - Jawa Timur </v>
          </cell>
        </row>
        <row r="28">
          <cell r="A28" t="str">
            <v xml:space="preserve">BPD - Kalimantan Barat  </v>
          </cell>
        </row>
        <row r="29">
          <cell r="A29" t="str">
            <v>BPD - Kalimantan Selatan</v>
          </cell>
        </row>
        <row r="30">
          <cell r="A30" t="str">
            <v>BPD - Kalimantan Tengah</v>
          </cell>
        </row>
        <row r="31">
          <cell r="A31" t="str">
            <v>BPD - Kalimantan Timur</v>
          </cell>
        </row>
        <row r="32">
          <cell r="A32" t="str">
            <v>BPD - Lampung</v>
          </cell>
        </row>
        <row r="33">
          <cell r="A33" t="str">
            <v xml:space="preserve">BPD - Maluku   </v>
          </cell>
        </row>
        <row r="34">
          <cell r="A34" t="str">
            <v>BPD - Sumatera Barat/Bank Nagari</v>
          </cell>
        </row>
        <row r="35">
          <cell r="A35" t="str">
            <v xml:space="preserve">BPD - Nusa Tenggara Barat </v>
          </cell>
        </row>
        <row r="36">
          <cell r="A36" t="str">
            <v>BPD - Nusa Tenggara Timur</v>
          </cell>
        </row>
        <row r="37">
          <cell r="A37" t="str">
            <v xml:space="preserve">BPD - Papua (Irian Jaya) </v>
          </cell>
        </row>
        <row r="38">
          <cell r="A38" t="str">
            <v>BPD - Riau</v>
          </cell>
        </row>
        <row r="39">
          <cell r="A39" t="str">
            <v>BPD - Sulawesi Selatan</v>
          </cell>
        </row>
        <row r="40">
          <cell r="A40" t="str">
            <v>BPD - Sulawesi Tengah</v>
          </cell>
        </row>
        <row r="41">
          <cell r="A41" t="str">
            <v xml:space="preserve">BPD - Sulawesi Tenggara </v>
          </cell>
        </row>
        <row r="42">
          <cell r="A42" t="str">
            <v xml:space="preserve">BPD - Sulawesi Utara </v>
          </cell>
        </row>
        <row r="43">
          <cell r="A43" t="str">
            <v>BPD - Sumatera Selatan</v>
          </cell>
        </row>
        <row r="44">
          <cell r="A44" t="str">
            <v>BPD - Sumatera Utara</v>
          </cell>
        </row>
        <row r="45">
          <cell r="A45" t="str">
            <v>Bank Negara Indonesia</v>
          </cell>
        </row>
        <row r="46">
          <cell r="A46" t="str">
            <v xml:space="preserve">Bank Rakyat Indonesia </v>
          </cell>
        </row>
        <row r="47">
          <cell r="A47" t="str">
            <v>Bank Tabungan Negara</v>
          </cell>
        </row>
        <row r="48">
          <cell r="A48" t="str">
            <v>Bank Mandiri Tbk</v>
          </cell>
        </row>
        <row r="49">
          <cell r="A49" t="str">
            <v>Bank Internasional Indonesia (BII)</v>
          </cell>
        </row>
        <row r="50">
          <cell r="A50" t="str">
            <v>Bank Danamon Indonesia</v>
          </cell>
        </row>
        <row r="51">
          <cell r="A51" t="str">
            <v>Bank CIMB - Niaga</v>
          </cell>
        </row>
        <row r="52">
          <cell r="A52" t="str">
            <v xml:space="preserve">Bank Panin </v>
          </cell>
        </row>
        <row r="53">
          <cell r="A53" t="str">
            <v>Bank OCBC - NISP</v>
          </cell>
        </row>
        <row r="54">
          <cell r="A54" t="str">
            <v>Bank Permata</v>
          </cell>
        </row>
        <row r="55">
          <cell r="A55" t="str">
            <v>Bank UOB Buana</v>
          </cell>
        </row>
        <row r="56">
          <cell r="A56" t="str">
            <v>Bank Agro</v>
          </cell>
        </row>
        <row r="57">
          <cell r="A57" t="str">
            <v>Bank Central Asia (BCA)</v>
          </cell>
        </row>
        <row r="58">
          <cell r="A58" t="str">
            <v xml:space="preserve">Bank Bukopin </v>
          </cell>
        </row>
        <row r="59">
          <cell r="A59" t="str">
            <v xml:space="preserve">Bank ICB  Bumi Putera </v>
          </cell>
        </row>
        <row r="60">
          <cell r="A60" t="str">
            <v xml:space="preserve">Bank Ekonomi Rahardja </v>
          </cell>
        </row>
        <row r="61">
          <cell r="A61" t="str">
            <v>Bank Mayapada</v>
          </cell>
        </row>
        <row r="62">
          <cell r="A62" t="str">
            <v>Bank Mega</v>
          </cell>
        </row>
        <row r="63">
          <cell r="A63" t="str">
            <v>Bank Sinar Mas</v>
          </cell>
        </row>
        <row r="64">
          <cell r="A64" t="str">
            <v>Bank BTPN</v>
          </cell>
        </row>
        <row r="65">
          <cell r="A65" t="str">
            <v>Bank Kesejahteraan Ekonomi</v>
          </cell>
        </row>
        <row r="66">
          <cell r="A66" t="str">
            <v>Bank Victoria International</v>
          </cell>
        </row>
        <row r="67">
          <cell r="A67" t="str">
            <v>Bank Yudha Bhakti</v>
          </cell>
        </row>
        <row r="73">
          <cell r="A73" t="str">
            <v>BNP Paribas SA , Paris , France</v>
          </cell>
        </row>
        <row r="74">
          <cell r="A74" t="str">
            <v>The Royal Bank of Scotland Group plc , Edinburgh , UK</v>
          </cell>
        </row>
        <row r="75">
          <cell r="A75" t="str">
            <v>Crédit Agricole SA , Paris , France</v>
          </cell>
        </row>
        <row r="76">
          <cell r="A76" t="str">
            <v>Barclays PLC , London , UK</v>
          </cell>
        </row>
        <row r="77">
          <cell r="A77" t="str">
            <v>Deutsche Bank AG , Frankfurt am Main , Germany</v>
          </cell>
        </row>
        <row r="78">
          <cell r="A78" t="str">
            <v>Lloyds Banking Group plc , London , UK</v>
          </cell>
        </row>
        <row r="79">
          <cell r="A79" t="str">
            <v>JPMorgan Chase Bank National Association , New York , USA</v>
          </cell>
        </row>
        <row r="80">
          <cell r="A80" t="str">
            <v>Banco Santander SA , Boadilla del Monte , Spain</v>
          </cell>
        </row>
        <row r="81">
          <cell r="A81" t="str">
            <v>The Bank of Tokyo-Mitsubishi UFJ Ltd , Tokyo , Japan</v>
          </cell>
        </row>
        <row r="82">
          <cell r="A82" t="str">
            <v>Société Générale , Paris La Défense , France</v>
          </cell>
        </row>
        <row r="83">
          <cell r="A83" t="str">
            <v>Bank of America NA , Charlotte , USA</v>
          </cell>
        </row>
        <row r="84">
          <cell r="A84" t="str">
            <v>UniCredit SpA , Milan , Italy</v>
          </cell>
        </row>
        <row r="85">
          <cell r="A85" t="str">
            <v>UBS AG , Zürich , Switzerland</v>
          </cell>
        </row>
        <row r="86">
          <cell r="A86" t="str">
            <v>Bank of China Limited , Beijing , China</v>
          </cell>
        </row>
        <row r="87">
          <cell r="A87" t="str">
            <v>HSBC Bank plc , London , UK</v>
          </cell>
        </row>
        <row r="88">
          <cell r="A88" t="str">
            <v>Commerzbank AG , Frankfurt am Main , Germany</v>
          </cell>
        </row>
        <row r="89">
          <cell r="A89" t="str">
            <v>Crédit Agricole Corporate and Investment Bank , Paris La Défense , France</v>
          </cell>
        </row>
        <row r="90">
          <cell r="A90" t="str">
            <v>Sumitomo Mitsui Banking Corporation , Tokyo , Japan</v>
          </cell>
        </row>
        <row r="91">
          <cell r="A91" t="str">
            <v>Citibank NA , New York , USA</v>
          </cell>
        </row>
        <row r="92">
          <cell r="A92" t="str">
            <v>China Construction Bank Corporation , Beijing , China</v>
          </cell>
        </row>
        <row r="93">
          <cell r="A93" t="str">
            <v>Bank of Scotland plc , Edinburgh , UK</v>
          </cell>
        </row>
        <row r="94">
          <cell r="A94" t="str">
            <v>Agricultural Bank of China Limited , Beijing , China</v>
          </cell>
        </row>
        <row r="95">
          <cell r="A95" t="str">
            <v>Credit Suisse Group , Zürich , Switzerland</v>
          </cell>
        </row>
        <row r="96">
          <cell r="A96" t="str">
            <v>Intesa Sanpaolo SpA , Milan , Italy</v>
          </cell>
        </row>
        <row r="97">
          <cell r="A97" t="str">
            <v>Rabobank Nederland , Utrecht , Netherlands</v>
          </cell>
        </row>
        <row r="98">
          <cell r="A98" t="str">
            <v>Natixis , Paris , France</v>
          </cell>
        </row>
        <row r="99">
          <cell r="A99" t="str">
            <v>Banco Bilbao Vizcaya Argentaria SA , Madrid , Spain</v>
          </cell>
        </row>
        <row r="100">
          <cell r="A100" t="str">
            <v>Mizuho Corporate Bank Ltd , Tokyo , Japan</v>
          </cell>
        </row>
        <row r="101">
          <cell r="A101" t="str">
            <v>Nordea Group , Stockholm , Sweden</v>
          </cell>
        </row>
        <row r="102">
          <cell r="A102" t="str">
            <v>Mizuho Bank Ltd , Tokyo , Japan</v>
          </cell>
        </row>
        <row r="103">
          <cell r="A103" t="str">
            <v>ABN AMRO Holding NV , Amsterdam , Netherlands</v>
          </cell>
        </row>
        <row r="104">
          <cell r="A104" t="str">
            <v>The Norinchukin Bank , Tokyo , Japan</v>
          </cell>
        </row>
        <row r="105">
          <cell r="A105" t="str">
            <v>Fortis Bank SA/NV , Brussels , Belgium</v>
          </cell>
        </row>
        <row r="106">
          <cell r="A106" t="str">
            <v>Wells Fargo Bank NA , San Francisco , USA</v>
          </cell>
        </row>
        <row r="107">
          <cell r="A107" t="str">
            <v>Royal Bank of Canada , Toronto , Canada</v>
          </cell>
        </row>
        <row r="108">
          <cell r="A108" t="str">
            <v>Banque Fédérative du Crédit Mutuel , Strasbourg , France</v>
          </cell>
        </row>
        <row r="109">
          <cell r="A109" t="str">
            <v>Landesbank Baden-Württemberg , Stuttgart , Germany</v>
          </cell>
        </row>
        <row r="110">
          <cell r="A110" t="str">
            <v>Credit Suisse International , London , UK</v>
          </cell>
        </row>
        <row r="111">
          <cell r="A111" t="str">
            <v>Danske Bank A/S , Copenhagen , Denmark</v>
          </cell>
        </row>
        <row r="112">
          <cell r="A112" t="str">
            <v>National Australia Bank Ltd , Melbourne , Australia</v>
          </cell>
        </row>
        <row r="113">
          <cell r="A113" t="str">
            <v>National Westminster Bank Plc , London , UK</v>
          </cell>
        </row>
        <row r="114">
          <cell r="A114" t="str">
            <v>The Hongkong and Shanghai Banking Corporation Limited , Hong Kong , Hong Kong</v>
          </cell>
        </row>
        <row r="115">
          <cell r="A115" t="str">
            <v>DZ BANK AG Deutsche Zentral-Genossenschaftsbank , Frankfurt am Main , Germany</v>
          </cell>
        </row>
        <row r="116">
          <cell r="A116" t="str">
            <v>KfW Bankengruppe , Frankfurt am Main , Germany</v>
          </cell>
        </row>
        <row r="117">
          <cell r="A117" t="str">
            <v>The Toronto-Dominion Bank , Toronto , Canada</v>
          </cell>
        </row>
        <row r="118">
          <cell r="A118" t="str">
            <v>Westpac Banking Corporation , Sydney , Australia</v>
          </cell>
        </row>
        <row r="119">
          <cell r="A119" t="str">
            <v>Commonwealth Bank of Australia , Sydney , Australia</v>
          </cell>
        </row>
        <row r="120">
          <cell r="A120" t="str">
            <v>Bayerische Landesbank , Munich , Germany</v>
          </cell>
        </row>
        <row r="121">
          <cell r="A121" t="str">
            <v>Bank of Communications Co Ltd , Shanghai , China</v>
          </cell>
        </row>
        <row r="122">
          <cell r="A122" t="str">
            <v>The Bank of Nova Scotia , Toronto , Canada</v>
          </cell>
        </row>
        <row r="123">
          <cell r="A123" t="str">
            <v>Santander UK plc , London , UK</v>
          </cell>
        </row>
        <row r="124">
          <cell r="A124" t="str">
            <v>UniCredit Bank AG , Munich , Germany</v>
          </cell>
        </row>
        <row r="125">
          <cell r="A125" t="str">
            <v>Standard Chartered PLC , London , UK</v>
          </cell>
        </row>
        <row r="126">
          <cell r="A126" t="str">
            <v>Australia and New Zealand Banking Group Limited , Melbourne , Australia</v>
          </cell>
        </row>
        <row r="127">
          <cell r="A127" t="str">
            <v>Banco do Brasil SA , Brasília , Brazil</v>
          </cell>
        </row>
        <row r="128">
          <cell r="A128" t="str">
            <v>KBC Bank NV , Brussels , Belgium</v>
          </cell>
        </row>
        <row r="129">
          <cell r="A129" t="str">
            <v>Caja de Ahorros y Pensiones de Barcelona 'la Caixa' , Barcelona , Spain</v>
          </cell>
        </row>
        <row r="130">
          <cell r="A130" t="str">
            <v>Bank for International Settlements (BIS) , Basle , Switzerland</v>
          </cell>
        </row>
        <row r="131">
          <cell r="A131" t="str">
            <v>Dexia Bank Belgium SA , Brussels , Belgium</v>
          </cell>
        </row>
        <row r="132">
          <cell r="A132" t="str">
            <v>Bank of Montreal , Montréal , Canada</v>
          </cell>
        </row>
        <row r="133">
          <cell r="A133" t="str">
            <v>WestLB AG , Düsseldorf , Germany</v>
          </cell>
        </row>
        <row r="134">
          <cell r="A134" t="str">
            <v>Norddeutsche Landesbank Girozentrale , Hannover , Germany</v>
          </cell>
        </row>
        <row r="135">
          <cell r="A135" t="str">
            <v>CIC Nord Ouest , Lille , France</v>
          </cell>
        </row>
        <row r="136">
          <cell r="A136" t="str">
            <v>Credit Industriel et Commercial , Paris , France</v>
          </cell>
        </row>
        <row r="137">
          <cell r="A137" t="str">
            <v>Itaú Unibanco SA , São Paulo , Brazil</v>
          </cell>
        </row>
        <row r="138">
          <cell r="A138" t="str">
            <v>Deutsche Postbank AG , Bonn , Germany</v>
          </cell>
        </row>
        <row r="139">
          <cell r="A139" t="str">
            <v>Skandinaviska Enskilda Banken AB (Publ) , Stockholm , Sweden</v>
          </cell>
        </row>
        <row r="140">
          <cell r="A140" t="str">
            <v>Canadian Imperial Bank of Commerce , Toronto , Canada</v>
          </cell>
        </row>
        <row r="141">
          <cell r="A141" t="str">
            <v>Deutsche Pfandbriefbank AG , Unterschleissheim , Germany</v>
          </cell>
        </row>
        <row r="142">
          <cell r="A142" t="str">
            <v>Caisse des Dépôts et Consignations , Paris , France</v>
          </cell>
        </row>
        <row r="143">
          <cell r="A143" t="str">
            <v>HSBC France , Paris , France</v>
          </cell>
        </row>
        <row r="144">
          <cell r="A144" t="str">
            <v>DEPFA BANK plc , Dublin , Ireland</v>
          </cell>
        </row>
        <row r="145">
          <cell r="A145" t="str">
            <v>Svenska Handelsbanken AB (publ) , Stockholm , Sweden</v>
          </cell>
        </row>
        <row r="146">
          <cell r="A146" t="str">
            <v>Banco Bradesco SA , Osasco , Brazil</v>
          </cell>
        </row>
        <row r="147">
          <cell r="A147" t="str">
            <v>Erste Group Bank AG , Vienna , Austria</v>
          </cell>
        </row>
        <row r="148">
          <cell r="A148" t="str">
            <v>Banca Monte dei Paschi di Siena SpA , Siena , Italy</v>
          </cell>
        </row>
        <row r="149">
          <cell r="A149" t="str">
            <v>Bank Austria Group , Vienna , Austria</v>
          </cell>
        </row>
        <row r="150">
          <cell r="A150" t="str">
            <v>US Bank NA , Minneapolis , USA</v>
          </cell>
        </row>
        <row r="151">
          <cell r="A151" t="str">
            <v>International Bank for Reconstruction and Development , Washington , USA</v>
          </cell>
        </row>
        <row r="152">
          <cell r="A152" t="str">
            <v>Caja Madrid , Madrid , Spain</v>
          </cell>
        </row>
        <row r="153">
          <cell r="A153" t="str">
            <v>Shinkin Central Bank , Tokyo , Japan</v>
          </cell>
        </row>
        <row r="154">
          <cell r="A154" t="str">
            <v>PNC Bank NA , Pittsburgh , USA</v>
          </cell>
        </row>
        <row r="155">
          <cell r="A155" t="str">
            <v>Bank of Ireland , Dublin , Ireland</v>
          </cell>
        </row>
        <row r="156">
          <cell r="A156" t="str">
            <v>Resona Bank Limited , Osaka , Japan</v>
          </cell>
        </row>
        <row r="157">
          <cell r="A157" t="str">
            <v>DnB NOR Bank ASA , Oslo , Norway</v>
          </cell>
        </row>
        <row r="158">
          <cell r="A158" t="str">
            <v>HSH Nordbank AG , Hamburg , Germany</v>
          </cell>
        </row>
        <row r="159">
          <cell r="A159" t="str">
            <v>AIB Group , Dublin , Ireland</v>
          </cell>
        </row>
        <row r="160">
          <cell r="A160" t="str">
            <v>Landesbank Hessen-Thüringen Girozentrale , Frankfurt am Main , Germany</v>
          </cell>
        </row>
        <row r="161">
          <cell r="A161" t="str">
            <v>Shanghai Pudong Development Bank Co Ltd , Shanghai , China</v>
          </cell>
        </row>
        <row r="162">
          <cell r="A162" t="str">
            <v>Sberbank , Moscow , Russian Federation</v>
          </cell>
        </row>
        <row r="163">
          <cell r="A163" t="str">
            <v>NRW.BANK , Düsseldorf , Germany</v>
          </cell>
        </row>
        <row r="164">
          <cell r="A164" t="str">
            <v>China Merchants Bank Co Ltd , Shenzhen , China</v>
          </cell>
        </row>
        <row r="165">
          <cell r="A165" t="str">
            <v>ING Belgium SA/NV , Brussels , Belgium</v>
          </cell>
        </row>
        <row r="166">
          <cell r="A166" t="str">
            <v>Mitsubishi UFJ Trust and Banking Corporation , Tokyo , Japan</v>
          </cell>
        </row>
        <row r="167">
          <cell r="A167" t="str">
            <v>Raiffeisen Zentralbank Österreich AG , Vienna , Austria</v>
          </cell>
        </row>
        <row r="168">
          <cell r="A168" t="str">
            <v>The Sumitomo Trust &amp; Banking Co Ltd , Tokyo , Japan</v>
          </cell>
        </row>
        <row r="169">
          <cell r="A169" t="str">
            <v>Banco Santander (Brasil) SA , Santo Amaro , Brazil</v>
          </cell>
        </row>
        <row r="170">
          <cell r="A170" t="str">
            <v>Kookmin Bank , Seoul , Korea (Republic of)</v>
          </cell>
        </row>
        <row r="171">
          <cell r="A171" t="str">
            <v>Crédit Foncier de France SA , Charenton-le-Pont , France</v>
          </cell>
        </row>
        <row r="172">
          <cell r="A172" t="str">
            <v>Caixa Econômica Federal , Brasília , Brazil</v>
          </cell>
        </row>
        <row r="173">
          <cell r="A173" t="str">
            <v>Banco Popolare Soc Coop , Verona , Italy</v>
          </cell>
        </row>
        <row r="174">
          <cell r="A174" t="str">
            <v>State Bank of India , Mumbai , India</v>
          </cell>
        </row>
        <row r="175">
          <cell r="A175" t="str">
            <v>DekaBank Deutsche Girozentrale , Frankfurt am Main , Germany</v>
          </cell>
        </row>
        <row r="176">
          <cell r="A176" t="str">
            <v>Banco Popular Español SA , Madrid , Spain</v>
          </cell>
        </row>
        <row r="177">
          <cell r="A177" t="str">
            <v>SNS REAAL Groep NV , Utrecht , Netherlands</v>
          </cell>
        </row>
        <row r="178">
          <cell r="A178" t="str">
            <v>Swedbank AB , Stockholm , Sweden</v>
          </cell>
        </row>
        <row r="179">
          <cell r="A179" t="str">
            <v>Banco Español de Credito SA , Madrid , Spain</v>
          </cell>
        </row>
        <row r="180">
          <cell r="A180" t="str">
            <v>Alliance &amp; Leicester plc , Narborough , UK</v>
          </cell>
        </row>
        <row r="181">
          <cell r="A181" t="str">
            <v>China Everbright Bank Co Ltd , Beijing , China</v>
          </cell>
        </row>
        <row r="182">
          <cell r="A182" t="str">
            <v>China Citic Bank Corporation Limited , Beijing , China</v>
          </cell>
        </row>
        <row r="183">
          <cell r="A183" t="str">
            <v>Caixa Geral de Depósitos SA , Lisbon , Portugal</v>
          </cell>
        </row>
        <row r="184">
          <cell r="A184" t="str">
            <v>Woori Bank , Seoul , Korea (Republic of)</v>
          </cell>
        </row>
        <row r="185">
          <cell r="A185" t="str">
            <v>Banca IMI SpA , Milan , Italy</v>
          </cell>
        </row>
        <row r="186">
          <cell r="A186" t="str">
            <v>HSBC Bank USA NA , McLean , USA</v>
          </cell>
        </row>
        <row r="187">
          <cell r="A187" t="str">
            <v>SunTrust Bank , Atlanta , USA</v>
          </cell>
        </row>
        <row r="188">
          <cell r="A188" t="str">
            <v>The Bank of New York Mellon , New York , USA</v>
          </cell>
        </row>
        <row r="189">
          <cell r="A189" t="str">
            <v>National Bank of Greece SA , Athens , Greece</v>
          </cell>
        </row>
        <row r="190">
          <cell r="A190" t="str">
            <v>Deutsche Bank Privat-und Geschäftskunden Aktiengesellschaft , Frankfurt am Main , Germany</v>
          </cell>
        </row>
        <row r="191">
          <cell r="A191" t="str">
            <v>Shinhan Bank , Seoul , Korea (Republic of)</v>
          </cell>
        </row>
        <row r="192">
          <cell r="A192" t="str">
            <v>Bancaja Group , Valencia , Spain</v>
          </cell>
        </row>
        <row r="193">
          <cell r="A193" t="str">
            <v>Branch Banking and Trust Co , Winston-Salem , USA</v>
          </cell>
        </row>
        <row r="194">
          <cell r="A194" t="str">
            <v>UniCredit Corporate Banking , Verona , Italy</v>
          </cell>
        </row>
        <row r="195">
          <cell r="A195" t="str">
            <v>China Minsheng Banking Corporation Limited , Beijing , China</v>
          </cell>
        </row>
        <row r="196">
          <cell r="A196" t="str">
            <v>State Street Bank and Trust Company , Boston , USA</v>
          </cell>
        </row>
        <row r="197">
          <cell r="A197" t="str">
            <v>Bank of China (Hong Kong) Limited , Hong Kong , Hong Kong</v>
          </cell>
        </row>
        <row r="198">
          <cell r="A198" t="str">
            <v>Landesbank Berlin AG , Berlin , Germany</v>
          </cell>
        </row>
        <row r="199">
          <cell r="A199" t="str">
            <v>Desjardins Group , Montréal , Canada</v>
          </cell>
        </row>
        <row r="200">
          <cell r="A200" t="str">
            <v>Bank Nederlandse Gemeenten , The Hague , Netherlands</v>
          </cell>
        </row>
        <row r="201">
          <cell r="A201" t="str">
            <v>Industrial Bank Co Ltd , Fuzhou , China</v>
          </cell>
        </row>
        <row r="202">
          <cell r="A202" t="str">
            <v>Crédit Lyonnais , Paris , France</v>
          </cell>
        </row>
        <row r="203">
          <cell r="A203" t="str">
            <v>The Chuo Mitsui Trust &amp; Banking Co Ltd , Tokyo , Japan</v>
          </cell>
        </row>
        <row r="204">
          <cell r="A204" t="str">
            <v>FIA Card Services NA , Wilmington , USA</v>
          </cell>
        </row>
        <row r="205">
          <cell r="A205" t="str">
            <v>Korea Development Bank , Seoul , Korea (Republic of)</v>
          </cell>
        </row>
        <row r="206">
          <cell r="A206" t="str">
            <v>Northern Rock plc , Newcastle-upon-Tyne , UK</v>
          </cell>
        </row>
        <row r="207">
          <cell r="A207" t="str">
            <v>Development Bank of Japan , Tokyo , Japan</v>
          </cell>
        </row>
        <row r="208">
          <cell r="A208" t="str">
            <v>TD Bank National Association , Wilmington , USA</v>
          </cell>
        </row>
        <row r="209">
          <cell r="A209" t="str">
            <v>Oversea-Chinese Banking Corp Ltd , Singapore , Singapore</v>
          </cell>
        </row>
        <row r="210">
          <cell r="A210" t="str">
            <v>Regions Bank , Birmingham , USA</v>
          </cell>
        </row>
        <row r="211">
          <cell r="A211" t="str">
            <v>WGZ BANK AG Westdeutsche Genossenschafts-Zentralbank , Düsseldorf , Germany</v>
          </cell>
        </row>
        <row r="212">
          <cell r="A212" t="str">
            <v>Banco Comercial Português SA , Porto , Portugal</v>
          </cell>
        </row>
        <row r="213">
          <cell r="A213" t="str">
            <v>Banca Nazionale del Lavoro SpA , Rome , Italy</v>
          </cell>
        </row>
        <row r="214">
          <cell r="A214" t="str">
            <v>Swiss Raiffeisen Group , St Gallen , Switzerland</v>
          </cell>
        </row>
        <row r="215">
          <cell r="A215" t="str">
            <v>Macquarie Bank Limited , Sydney , Australia</v>
          </cell>
        </row>
        <row r="216">
          <cell r="A216" t="str">
            <v>Capital One National Association , McLean , USA</v>
          </cell>
        </row>
        <row r="217">
          <cell r="A217" t="str">
            <v>ING-DiBa AG , Frankfurt am Main , Germany</v>
          </cell>
        </row>
        <row r="218">
          <cell r="A218" t="str">
            <v>National Bank of Canada , Montréal , Canada</v>
          </cell>
        </row>
        <row r="219">
          <cell r="A219" t="str">
            <v>Anglo Irish Bank Corporation Ltd , Dublin , Ireland</v>
          </cell>
        </row>
        <row r="220">
          <cell r="A220" t="str">
            <v>Bank of Taiwan , Taipei City , Taiwan</v>
          </cell>
        </row>
        <row r="221">
          <cell r="A221" t="str">
            <v>EFG Eurobank Ergasias SA , Athens , Greece</v>
          </cell>
        </row>
        <row r="222">
          <cell r="A222" t="str">
            <v>VTB Bank (open joint-stock company) , St. Petersburg , Russian Federation</v>
          </cell>
        </row>
        <row r="223">
          <cell r="A223" t="str">
            <v>Banco Sabadell Group , Sabadell , Spain</v>
          </cell>
        </row>
        <row r="224">
          <cell r="A224" t="str">
            <v>Banco Espirito Santo SA , Lisbon , Portugal</v>
          </cell>
        </row>
        <row r="225">
          <cell r="A225" t="str">
            <v>The Bank of Yokohama Ltd , Yokohama , Japan</v>
          </cell>
        </row>
        <row r="226">
          <cell r="A226" t="str">
            <v>RBS Citizens National Association , Providence , USA</v>
          </cell>
        </row>
        <row r="227">
          <cell r="A227" t="str">
            <v>Irish Life &amp; Permanent Plc , Dublin , Ireland</v>
          </cell>
        </row>
        <row r="228">
          <cell r="A228" t="str">
            <v>Zürcher Kantonalbank , Zürich , Switzerland</v>
          </cell>
        </row>
        <row r="229">
          <cell r="A229" t="str">
            <v>Fifth Third Bank , Cincinnati , USA</v>
          </cell>
        </row>
        <row r="230">
          <cell r="A230" t="str">
            <v>BNP Paribas Securities Services SA , Paris , France</v>
          </cell>
        </row>
        <row r="231">
          <cell r="A231" t="str">
            <v>Landwirtschaftliche Rentenbank , Frankfurt am Main , Germany</v>
          </cell>
        </row>
        <row r="232">
          <cell r="A232" t="str">
            <v>The Standard Bank of South Africa Ltd , Johannesburg , South Africa</v>
          </cell>
        </row>
        <row r="233">
          <cell r="A233" t="str">
            <v>United Overseas Bank Limited , Singapore , Singapore</v>
          </cell>
        </row>
        <row r="234">
          <cell r="A234" t="str">
            <v>Hana Bank , Seoul , Korea (Republic of)</v>
          </cell>
        </row>
        <row r="235">
          <cell r="A235" t="str">
            <v>The Shoko Chukin Bank Ltd , Tokyo , Japan</v>
          </cell>
        </row>
        <row r="236">
          <cell r="A236" t="str">
            <v>Caja de Ahorros del Mediterráneo , Alicante , Spain</v>
          </cell>
        </row>
        <row r="237">
          <cell r="A237" t="str">
            <v>Shinsei Bank Limited , Tokyo , Japan</v>
          </cell>
        </row>
        <row r="238">
          <cell r="A238" t="str">
            <v>Industrial Bank of Korea , Seoul , Korea (Republic of)</v>
          </cell>
        </row>
        <row r="239">
          <cell r="A239" t="str">
            <v>Hua Xia Bank Co Limited , Beijing , China</v>
          </cell>
        </row>
        <row r="240">
          <cell r="A240" t="str">
            <v>Hang Seng Bank Ltd , Hong Kong , Hong Kong</v>
          </cell>
        </row>
        <row r="241">
          <cell r="A241" t="str">
            <v>Crédit Mutuel Arkéa , Le Relecq-Kerhuon , France</v>
          </cell>
        </row>
        <row r="242">
          <cell r="A242" t="str">
            <v>Ulster Bank Ltd , Belfast , UK</v>
          </cell>
        </row>
        <row r="243">
          <cell r="A243" t="str">
            <v>Saitama Resona Bank Limited , Saitama , Japan</v>
          </cell>
        </row>
        <row r="244">
          <cell r="A244" t="str">
            <v>The Chiba Bank Ltd , Chiba , Japan</v>
          </cell>
        </row>
        <row r="245">
          <cell r="A245" t="str">
            <v>Deutsche Bank Luxembourg SA , Luxembourg , Luxembourg</v>
          </cell>
        </row>
        <row r="246">
          <cell r="A246" t="str">
            <v>Deutsche Genossenschafts-Hypothekenbank AG , Hamburg , Germany</v>
          </cell>
        </row>
        <row r="247">
          <cell r="A247" t="str">
            <v>Guangdong Development Bank Co Ltd , Guangzhou , China</v>
          </cell>
        </row>
        <row r="248">
          <cell r="A248" t="str">
            <v>Alpha Bank AE , Athens , Greece</v>
          </cell>
        </row>
        <row r="249">
          <cell r="A249" t="str">
            <v>The Shizuoka Bank Ltd , Shizuoka , Japan</v>
          </cell>
        </row>
        <row r="250">
          <cell r="A250" t="str">
            <v>Caixa d'Estalvis de Catalunya Tarragona i Manresa , Barcelona , Spain</v>
          </cell>
        </row>
        <row r="251">
          <cell r="A251" t="str">
            <v>Absa Bank Ltd , Johannesburg , South Africa</v>
          </cell>
        </row>
        <row r="252">
          <cell r="A252" t="str">
            <v>Chase Bank USA NA , Newark , USA</v>
          </cell>
        </row>
        <row r="253">
          <cell r="A253" t="str">
            <v>Unione di Banche Italiane Scpa , Bergamo , Italy</v>
          </cell>
        </row>
        <row r="254">
          <cell r="A254" t="str">
            <v>KeyBank National Association , Cleveland , USA</v>
          </cell>
        </row>
        <row r="255">
          <cell r="A255" t="str">
            <v>Standard Chartered Bank (Hong Kong) Limited , Hong Kong , Hong Kong</v>
          </cell>
        </row>
        <row r="256">
          <cell r="A256" t="str">
            <v>The Bank of Fukuoka Ltd , Fukuoka , Japan</v>
          </cell>
        </row>
        <row r="257">
          <cell r="A257" t="str">
            <v>Union Bank NA , San Francisco , USA</v>
          </cell>
        </row>
        <row r="258">
          <cell r="A258" t="str">
            <v>Bank Leumi le-Israel BM , Tel Aviv , Israel</v>
          </cell>
        </row>
        <row r="259">
          <cell r="A259" t="str">
            <v>BBVA Bancomer SA , México City , Mexico</v>
          </cell>
        </row>
        <row r="260">
          <cell r="A260" t="str">
            <v>ANZ National Bank Limited , Wellington , New Zealand</v>
          </cell>
        </row>
        <row r="261">
          <cell r="A261" t="str">
            <v>Banco Nacional de Mexico SA , México City , Mexico</v>
          </cell>
        </row>
        <row r="262">
          <cell r="A262" t="str">
            <v>Türkiye Cumhuriyeti Ziraat Bankasi AS , Ankara , Turkey</v>
          </cell>
        </row>
        <row r="263">
          <cell r="A263" t="str">
            <v>Mediobanca - Banca di Credito Finanziario SpA , Milan , Italy</v>
          </cell>
        </row>
        <row r="264">
          <cell r="A264" t="str">
            <v>Bank Hapoalim BM , Tel Aviv , Israel</v>
          </cell>
        </row>
        <row r="265">
          <cell r="A265" t="str">
            <v>ICICI Bank Limited , Mumbai , India</v>
          </cell>
        </row>
        <row r="266">
          <cell r="A266" t="str">
            <v>Taiwan Cooperative Bank , Taipei City , Taiwan</v>
          </cell>
        </row>
        <row r="267">
          <cell r="A267" t="str">
            <v>UNIBANCO - União de Bancos Brasileiros SA , São Paulo , Brazil</v>
          </cell>
        </row>
        <row r="268">
          <cell r="A268" t="str">
            <v>Korea Exchange Bank , Seoul , Korea (Republic of)</v>
          </cell>
        </row>
        <row r="269">
          <cell r="A269" t="str">
            <v>BANKINTER SA , Madrid , Spain</v>
          </cell>
        </row>
        <row r="270">
          <cell r="A270" t="str">
            <v>Türkiye Garanti Bankasi AS , Istanbul , Turkey</v>
          </cell>
        </row>
        <row r="271">
          <cell r="A271" t="str">
            <v>Emirates NBD Bank PJSC , Dubai City , UAE</v>
          </cell>
        </row>
        <row r="272">
          <cell r="A272" t="str">
            <v>SEB AG , Frankfurt am Main , Germany</v>
          </cell>
        </row>
        <row r="273">
          <cell r="A273" t="str">
            <v>TÜRKiYE iS BANKASI AS , Istanbul , Turkey</v>
          </cell>
        </row>
        <row r="274">
          <cell r="A274" t="str">
            <v>Nederlandse Waterschapsbank NV , The Hague , Netherlands</v>
          </cell>
        </row>
        <row r="275">
          <cell r="A275" t="str">
            <v>Suncorp-Metway Limited , Brisbane , Australia</v>
          </cell>
        </row>
        <row r="276">
          <cell r="A276" t="str">
            <v>The Joyo Bank Ltd , Mito , Japan</v>
          </cell>
        </row>
        <row r="277">
          <cell r="A277" t="str">
            <v>Nedbank Limited , Johannesburg , South Africa</v>
          </cell>
        </row>
        <row r="278">
          <cell r="A278" t="str">
            <v>Sovereign Bank , Wyomissing , USA</v>
          </cell>
        </row>
        <row r="279">
          <cell r="A279" t="str">
            <v>Ulster Bank Ireland Limited , Dublin , Ireland</v>
          </cell>
        </row>
        <row r="280">
          <cell r="A280" t="str">
            <v>Banco Itaú BBA SA , São Paulo , Brazil</v>
          </cell>
        </row>
        <row r="281">
          <cell r="A281" t="str">
            <v>North Pacific Bank Ltd , Sapporo , Japan</v>
          </cell>
        </row>
        <row r="282">
          <cell r="A282" t="str">
            <v>FirstRand Bank Ltd , Sandton , South Africa</v>
          </cell>
        </row>
        <row r="283">
          <cell r="A283" t="str">
            <v>Dexia Crediop SpA , Rome , Italy</v>
          </cell>
        </row>
        <row r="284">
          <cell r="A284" t="str">
            <v>Piraeus Bank SA , Athens , Greece</v>
          </cell>
        </row>
        <row r="285">
          <cell r="A285" t="str">
            <v>Shenzhen Development Bank Co Ltd , Shenzhen , China</v>
          </cell>
        </row>
        <row r="286">
          <cell r="A286" t="str">
            <v>The Nishi-Nippon City Bank Ltd , Fukuoka , Japan</v>
          </cell>
        </row>
        <row r="287">
          <cell r="A287" t="str">
            <v>Österreichische Volksbanken- AG , Vienna , Austria</v>
          </cell>
        </row>
        <row r="288">
          <cell r="A288" t="str">
            <v>The Northern Trust Company , Chicago , USA</v>
          </cell>
        </row>
        <row r="289">
          <cell r="A289" t="str">
            <v>HSBC Private Bank (Suisse) SA , Geneva , Switzerland</v>
          </cell>
        </row>
        <row r="290">
          <cell r="A290" t="str">
            <v>The National Commercial Bank , Jeddah , Saudi Arabia</v>
          </cell>
        </row>
        <row r="291">
          <cell r="A291" t="str">
            <v>Akbank TAS , Istanbul , Turkey</v>
          </cell>
        </row>
        <row r="292">
          <cell r="A292" t="str">
            <v>Bank of Shanghai Co Ltd , Shanghai , China</v>
          </cell>
        </row>
        <row r="293">
          <cell r="A293" t="str">
            <v>Banco BPI SA , Porto , Portugal</v>
          </cell>
        </row>
        <row r="294">
          <cell r="A294" t="str">
            <v>HSBC Bank Canada , Vancouver , Canada</v>
          </cell>
        </row>
        <row r="295">
          <cell r="A295" t="str">
            <v>Manufacturers and Traders Trust Company , Buffalo , USA</v>
          </cell>
        </row>
        <row r="296">
          <cell r="A296" t="str">
            <v>Malayan Banking Berhad , Kuala Lumpur , Malaysia</v>
          </cell>
        </row>
        <row r="297">
          <cell r="A297" t="str">
            <v>CIC Est , Strasbourg , France</v>
          </cell>
        </row>
        <row r="298">
          <cell r="A298" t="str">
            <v>Clydesdale Bank PLC , Glasgow , UK</v>
          </cell>
        </row>
        <row r="299">
          <cell r="A299" t="str">
            <v>The Bank of Kyoto Ltd , Kyoto , Japan</v>
          </cell>
        </row>
        <row r="300">
          <cell r="A300" t="str">
            <v>Caja de Ahorros de Galicia , A Coruña , Spain</v>
          </cell>
        </row>
        <row r="301">
          <cell r="A301" t="str">
            <v>Punjab National Bank , New Delhi , India</v>
          </cell>
        </row>
        <row r="302">
          <cell r="A302" t="str">
            <v>Compass Bank , Birmingham , USA</v>
          </cell>
        </row>
        <row r="303">
          <cell r="A303" t="str">
            <v>Mizuho Trust &amp; Banking Co Ltd , Tokyo , Japan</v>
          </cell>
        </row>
        <row r="304">
          <cell r="A304" t="str">
            <v>The Hiroshima Bank Ltd , Hiroshima , Japan</v>
          </cell>
        </row>
        <row r="305">
          <cell r="A305" t="str">
            <v>Mega International Commercial Bank Co Ltd , Taipei City , Taiwan</v>
          </cell>
        </row>
        <row r="306">
          <cell r="A306" t="str">
            <v>Land Bank of Taiwan , Taipei City , Taiwan</v>
          </cell>
        </row>
        <row r="307">
          <cell r="A307" t="str">
            <v>BGL BNP Paribas , Luxembourg , Luxembourg</v>
          </cell>
        </row>
        <row r="308">
          <cell r="A308" t="str">
            <v>Bank of Baroda , Baroda , India</v>
          </cell>
        </row>
        <row r="309">
          <cell r="A309" t="str">
            <v>Bank of India , Mumbai , India</v>
          </cell>
        </row>
        <row r="310">
          <cell r="A310" t="str">
            <v>Bank Melli Iran , Tehran , Iran</v>
          </cell>
        </row>
        <row r="311">
          <cell r="A311" t="str">
            <v>Bank of Beijing Co Ltd , Beijing , China</v>
          </cell>
        </row>
        <row r="312">
          <cell r="A312" t="str">
            <v>Aozora Bank Ltd , Tokyo , Japan</v>
          </cell>
        </row>
        <row r="313">
          <cell r="A313" t="str">
            <v>The Hachijuni Bank Ltd , Nagano , Japan</v>
          </cell>
        </row>
        <row r="314">
          <cell r="A314" t="str">
            <v>IBERCAJA - Caja de Ahorros y Monte de Piedad de Zaragoza Aragon y Rioja , Zaragoza , Spain</v>
          </cell>
        </row>
        <row r="315">
          <cell r="A315" t="str">
            <v>First Commercial Bank , Taipei City , Taiwan</v>
          </cell>
        </row>
        <row r="316">
          <cell r="A316" t="str">
            <v>IKB Deutsche Industriebank AG , Düsseldorf , Germany</v>
          </cell>
        </row>
        <row r="317">
          <cell r="A317" t="str">
            <v>Marfin Popular Bank Public Co Ltd , Nicosia , Cyprus</v>
          </cell>
        </row>
        <row r="318">
          <cell r="A318" t="str">
            <v>Bank of the West , San Francisco , USA</v>
          </cell>
        </row>
        <row r="319">
          <cell r="A319" t="str">
            <v>Berlin-Hannoversche Hypothekenbank AG , Berlin , Germany</v>
          </cell>
        </row>
        <row r="320">
          <cell r="A320" t="str">
            <v>The Gunma Bank Ltd , Gunma , Japan</v>
          </cell>
        </row>
        <row r="321">
          <cell r="A321" t="str">
            <v>Deutsche Apotheker-und Ärztebank eG , Düsseldorf , Germany</v>
          </cell>
        </row>
        <row r="322">
          <cell r="A322" t="str">
            <v>BAWAG PSK Bank für Arbeit und Wirtschaft und Österreichische Postsparkasse Aktiengesellschaft , Vienna , Austria</v>
          </cell>
        </row>
        <row r="323">
          <cell r="A323" t="str">
            <v>Comerica Bank , Dallas , USA</v>
          </cell>
        </row>
        <row r="324">
          <cell r="A324" t="str">
            <v>Dexia Banque Internationale à Luxembourg SA , Luxembourg , Luxembourg</v>
          </cell>
        </row>
        <row r="325">
          <cell r="A325" t="str">
            <v>Canara Bank , Bangalore , India</v>
          </cell>
        </row>
        <row r="326">
          <cell r="A326" t="str">
            <v>Hypo Alpe-Adria-Bank Group , Klagenfurt am Wörthersee , Austria</v>
          </cell>
        </row>
        <row r="327">
          <cell r="A327" t="str">
            <v>The Hokuriku Bank Ltd , Toyama , Japan</v>
          </cell>
        </row>
        <row r="328">
          <cell r="A328" t="str">
            <v>The Chugoku Bank Ltd , Okayama , Japan</v>
          </cell>
        </row>
        <row r="329">
          <cell r="A329" t="str">
            <v>CoBank, ACB , Greenwood Village , USA</v>
          </cell>
        </row>
        <row r="330">
          <cell r="A330" t="str">
            <v>Société Générale Bank &amp; Trust , Luxembourg , Luxembourg</v>
          </cell>
        </row>
        <row r="331">
          <cell r="A331" t="str">
            <v>HSBC Bank Brasil SA -Banco Multiplo , Curitiba , Brazil</v>
          </cell>
        </row>
        <row r="332">
          <cell r="A332" t="str">
            <v>Sal Oppenheim jr &amp; Cie SCA , Luxembourg , Luxembourg</v>
          </cell>
        </row>
        <row r="333">
          <cell r="A333" t="str">
            <v>Gazprombank (Open Joint-Stock Company) , Moscow , Russian Federation</v>
          </cell>
        </row>
        <row r="334">
          <cell r="A334" t="str">
            <v>Aareal Bank AG , Wiesbaden , Germany</v>
          </cell>
        </row>
        <row r="335">
          <cell r="A335" t="str">
            <v>Crédit du Nord , Paris , France</v>
          </cell>
        </row>
        <row r="336">
          <cell r="A336" t="str">
            <v>Bank of Cyprus Public Company Limited , Nicosia , Cyprus</v>
          </cell>
        </row>
        <row r="337">
          <cell r="A337" t="str">
            <v>The 77 Bank Ltd , Sendai , Japan</v>
          </cell>
        </row>
        <row r="338">
          <cell r="A338" t="str">
            <v>Banco Santander Totta SA , Lisbon , Portugal</v>
          </cell>
        </row>
        <row r="339">
          <cell r="A339" t="str">
            <v>Citibank International plc , London , UK</v>
          </cell>
        </row>
        <row r="340">
          <cell r="A340" t="str">
            <v>Banco Votorantim SA , São Paulo , Brazil</v>
          </cell>
        </row>
        <row r="341">
          <cell r="A341" t="str">
            <v>Banque et Caisse d'Epargne de l'Etat, Luxembourg , Luxembourg , Luxembourg</v>
          </cell>
        </row>
        <row r="342">
          <cell r="A342" t="str">
            <v>Hamburger Sparkasse AG , Hamburg , Germany</v>
          </cell>
        </row>
        <row r="343">
          <cell r="A343" t="str">
            <v>Powszechna Kasa Oszczednosci Bank Polski Spolka Akcyjna , Warsaw , Poland</v>
          </cell>
        </row>
        <row r="344">
          <cell r="A344" t="str">
            <v>BRED Banque Populaire , Paris , France</v>
          </cell>
        </row>
        <row r="345">
          <cell r="A345" t="str">
            <v>National Bank of Abu Dhabi , Abu Dhabi , UAE</v>
          </cell>
        </row>
        <row r="346">
          <cell r="A346" t="str">
            <v>The Bank of East Asia Limited , Hong Kong , Hong Kong</v>
          </cell>
        </row>
        <row r="347">
          <cell r="A347" t="str">
            <v>Royal Bank of Canada Europe Limited , London , UK</v>
          </cell>
        </row>
        <row r="348">
          <cell r="A348" t="str">
            <v>Banca Popolare di Milano SCaRL , Milan , Italy</v>
          </cell>
        </row>
        <row r="349">
          <cell r="A349" t="str">
            <v>Bangkok Bank Public Company Limited , Bangkok , Thailand</v>
          </cell>
        </row>
        <row r="350">
          <cell r="A350" t="str">
            <v>IDBI Bank Limited , Mumbai , India</v>
          </cell>
        </row>
        <row r="351">
          <cell r="A351" t="str">
            <v>OTP Bank Plc , Budapest , Hungary</v>
          </cell>
        </row>
        <row r="352">
          <cell r="A352" t="str">
            <v>Public Bank Berhad , Kuala Lumpur , Malaysia</v>
          </cell>
        </row>
        <row r="353">
          <cell r="A353" t="str">
            <v>Münchener Hypothekenbank eG , Munich , Germany</v>
          </cell>
        </row>
        <row r="354">
          <cell r="A354" t="str">
            <v>Hua Nan Commercial Bank Ltd , Taipei City , Taiwan</v>
          </cell>
        </row>
        <row r="355">
          <cell r="A355" t="str">
            <v>Huntington National Bank , Columbus , USA</v>
          </cell>
        </row>
        <row r="356">
          <cell r="A356" t="str">
            <v>The Yamaguchi Bank Ltd , Shimonoseki , Japan</v>
          </cell>
        </row>
        <row r="357">
          <cell r="A357" t="str">
            <v>Pohjola Bank plc , Helsinki , Finland</v>
          </cell>
        </row>
        <row r="358">
          <cell r="A358" t="str">
            <v>Raiffeisenlandesbank Oberösterreich Aktiengesellschaft , Linz , Austria</v>
          </cell>
        </row>
        <row r="359">
          <cell r="A359" t="str">
            <v>Deutsche Hypothekenbank (Aktien-Gesellschaft) , Hannover , Germany</v>
          </cell>
        </row>
        <row r="360">
          <cell r="A360" t="str">
            <v>Arab Bank Group , Amman , Jordan</v>
          </cell>
        </row>
        <row r="361">
          <cell r="A361" t="str">
            <v>Barclays Bank SA , Madrid , Spain</v>
          </cell>
        </row>
        <row r="362">
          <cell r="A362" t="str">
            <v>M &amp; I Marshall and Ilsley Bank , Milwaukee , USA</v>
          </cell>
        </row>
        <row r="363">
          <cell r="A363" t="str">
            <v>Bank of New Zealand , Wellington , New Zealand</v>
          </cell>
        </row>
        <row r="364">
          <cell r="A364" t="str">
            <v>HDFC Bank Ltd , Mumbai , India</v>
          </cell>
        </row>
        <row r="365">
          <cell r="A365" t="str">
            <v>Samba Financial Group , Riyadh , Saudi Arabia</v>
          </cell>
        </row>
        <row r="366">
          <cell r="A366" t="str">
            <v>The Iyo Bank Ltd , Matsuyama , Japan</v>
          </cell>
        </row>
        <row r="367">
          <cell r="A367" t="str">
            <v>Qatar National Bank SAQ , Doha , Qatar</v>
          </cell>
        </row>
        <row r="368">
          <cell r="A368" t="str">
            <v>Oesterreichische Kontrollbank AG , Vienna , Austria</v>
          </cell>
        </row>
        <row r="369">
          <cell r="A369" t="str">
            <v>Monte de Piedad y Caja de Ahorros de Ronda Cádiz Almería Málaga Antequera y Jaén (UNICAJA) , Málaga , Spain</v>
          </cell>
        </row>
        <row r="370">
          <cell r="A370" t="str">
            <v>MPS Capital Services Banca per le Imprese SpA , Florence , Italy</v>
          </cell>
        </row>
        <row r="371">
          <cell r="A371" t="str">
            <v>The Ashikaga Bank Ltd , Utsunomiya , Japan</v>
          </cell>
        </row>
        <row r="372">
          <cell r="A372" t="str">
            <v>Bank of Jiangsu Co Ltd , Nanjing , China</v>
          </cell>
        </row>
        <row r="373">
          <cell r="A373" t="str">
            <v>Israel Discount Bank Limited , Tel Aviv , Israel</v>
          </cell>
        </row>
        <row r="374">
          <cell r="A374" t="str">
            <v>Chinatrust Commercial Bank , Taipei City , Taiwan</v>
          </cell>
        </row>
        <row r="375">
          <cell r="A375" t="str">
            <v>Bremer Landesbank Kreditanstalt Oldenburg-Girozentrale , Bremen , Germany</v>
          </cell>
        </row>
        <row r="376">
          <cell r="A376" t="str">
            <v>Cassa di Risparmio di Parma e Piacenza SpA , Parma , Italy</v>
          </cell>
        </row>
        <row r="377">
          <cell r="A377" t="str">
            <v>UniCredit Luxembourg SA , Luxembourg , Luxembourg</v>
          </cell>
        </row>
        <row r="378">
          <cell r="A378" t="str">
            <v>Citibank Korea Inc , Seoul , Korea (Republic of)</v>
          </cell>
        </row>
        <row r="379">
          <cell r="A379" t="str">
            <v>Yapi ve Kredi Bankasi AS , Istanbul , Turkey</v>
          </cell>
        </row>
        <row r="380">
          <cell r="A380" t="str">
            <v>Riyad Bank , Riyadh , Saudi Arabia</v>
          </cell>
        </row>
        <row r="381">
          <cell r="A381" t="str">
            <v>Volkswagen Bank GmbH , Braunschweig , Germany</v>
          </cell>
        </row>
        <row r="382">
          <cell r="A382" t="str">
            <v>CIMB Bank Berhad , Kuala Lumpur , Malaysia</v>
          </cell>
        </row>
        <row r="383">
          <cell r="A383" t="str">
            <v>European Bank for Reconstruction and Development , London , UK</v>
          </cell>
        </row>
        <row r="384">
          <cell r="A384" t="str">
            <v>Ceskoslovenska obchodni banka as , Prague , Czech Republic</v>
          </cell>
        </row>
        <row r="385">
          <cell r="A385" t="str">
            <v>Ceska Sporitelna as , Prague , Czech Republic</v>
          </cell>
        </row>
        <row r="386">
          <cell r="A386" t="str">
            <v>Banco Pastor SA , A Coruña , Spain</v>
          </cell>
        </row>
        <row r="387">
          <cell r="A387" t="str">
            <v>The Nanto Bank Ltd , Nara , Japan</v>
          </cell>
        </row>
        <row r="388">
          <cell r="A388" t="str">
            <v>Chang Hwa Commercial Bank Ltd , Taipei City , Taiwan</v>
          </cell>
        </row>
        <row r="389">
          <cell r="A389" t="str">
            <v>Agricultural Bank of Greece SA , Athens , Greece</v>
          </cell>
        </row>
        <row r="390">
          <cell r="A390" t="str">
            <v>Deutsche Bank Trust Company Americas , New York , USA</v>
          </cell>
        </row>
        <row r="391">
          <cell r="A391" t="str">
            <v>Bank Polska Kasa Opieki SA , Warsaw , Poland</v>
          </cell>
        </row>
        <row r="392">
          <cell r="A392" t="str">
            <v>CAIXANOVA-Caixa de Aforros de Vigo, Ourense e Pontevedra , Vigo , Spain</v>
          </cell>
        </row>
        <row r="393">
          <cell r="A393" t="str">
            <v>Al Rajhi Banking and Investment Corp , Riyadh , Saudi Arabia</v>
          </cell>
        </row>
        <row r="394">
          <cell r="A394" t="str">
            <v>Raiffeisenlandesbank Niederösterreich-Wien AG , Vienna , Austria</v>
          </cell>
        </row>
        <row r="395">
          <cell r="A395" t="str">
            <v>National Bank of Kuwait SAK , Kuwait City , Kuwait</v>
          </cell>
        </row>
        <row r="396">
          <cell r="A396" t="str">
            <v>Türkiye Vakiflar Bankasi TAO , Kavaklidere , Turkey</v>
          </cell>
        </row>
        <row r="397">
          <cell r="A397" t="str">
            <v>Banco Santander (Mexico) SA , México City , Mexico</v>
          </cell>
        </row>
        <row r="398">
          <cell r="A398" t="str">
            <v>Harris National Association , Chicago , USA</v>
          </cell>
        </row>
        <row r="399">
          <cell r="A399" t="str">
            <v>BNP PARIBAS LUXEMBOURG , Luxembourg , Luxembourg</v>
          </cell>
        </row>
        <row r="400">
          <cell r="A400" t="str">
            <v>The Daishi Bank Ltd , Niigata , Japan</v>
          </cell>
        </row>
        <row r="401">
          <cell r="A401" t="str">
            <v>Abu Dhabi Commercial Bank PJSC , Abu Dhabi , UAE</v>
          </cell>
        </row>
        <row r="402">
          <cell r="A402" t="str">
            <v>Banca Popolare dell'Emilia Romagna Società Cooperativa , Modena , Italy</v>
          </cell>
        </row>
        <row r="403">
          <cell r="A403" t="str">
            <v>Bilbao Bizkaia Kutxa , Bilbao , Spain</v>
          </cell>
        </row>
        <row r="404">
          <cell r="A404" t="str">
            <v>Banca Carige SpA , Genoa , Italy</v>
          </cell>
        </row>
        <row r="405">
          <cell r="A405" t="str">
            <v>Bank Mellat , Tehran , Iran</v>
          </cell>
        </row>
        <row r="406">
          <cell r="A406" t="str">
            <v>ING Bank (Australia) Limited , Sydney , Australia</v>
          </cell>
        </row>
        <row r="407">
          <cell r="A407" t="str">
            <v>Sparkasse KölnBonn , Cologne , Germany</v>
          </cell>
        </row>
        <row r="408">
          <cell r="A408" t="str">
            <v>Banco Mercantil del Norte SA , Monterrey , Mexico</v>
          </cell>
        </row>
        <row r="409">
          <cell r="A409" t="str">
            <v>National Bank of Egypt , Cairo , Egypt</v>
          </cell>
        </row>
        <row r="410">
          <cell r="A410" t="str">
            <v>PT Bank Mandiri (Persero) Tbk , Jakarta , Indonesia</v>
          </cell>
        </row>
        <row r="411">
          <cell r="A411" t="str">
            <v>Bank Saderat Iran , Tehran , Iran</v>
          </cell>
        </row>
        <row r="412">
          <cell r="A412" t="str">
            <v>The Juroku Bank Ltd , Gifu , Japan</v>
          </cell>
        </row>
        <row r="413">
          <cell r="A413" t="str">
            <v>NIBC Bank NV , The Hague , Netherlands</v>
          </cell>
        </row>
        <row r="414">
          <cell r="A414" t="str">
            <v>Jyske Bank A/S , Silkeborg , Denmark</v>
          </cell>
        </row>
        <row r="415">
          <cell r="A415" t="str">
            <v>The Shiga Bank Ltd , Otsu , Japan</v>
          </cell>
        </row>
        <row r="416">
          <cell r="A416" t="str">
            <v>Cathay United Bank , Taipei City , Taiwan</v>
          </cell>
        </row>
        <row r="417">
          <cell r="A417" t="str">
            <v>ASB Bank Ltd , Auckland , New Zealand</v>
          </cell>
        </row>
        <row r="418">
          <cell r="A418" t="str">
            <v>Banco Santander Chile , Santiago , Chile</v>
          </cell>
        </row>
        <row r="419">
          <cell r="A419" t="str">
            <v>The Hyakugo Bank Ltd , Tsu , Japan</v>
          </cell>
        </row>
        <row r="420">
          <cell r="A420" t="str">
            <v>Central Bank of India , Mumbai , India</v>
          </cell>
        </row>
        <row r="421">
          <cell r="A421" t="str">
            <v>Türkiye Halk Bankasi AS , Ankara , Turkey</v>
          </cell>
        </row>
        <row r="422">
          <cell r="A422" t="str">
            <v>The Hokkaido Bank Ltd , Sapporo , Japan</v>
          </cell>
        </row>
        <row r="423">
          <cell r="A423" t="str">
            <v>Emporiki Bank of Greece SA , Athens , Greece</v>
          </cell>
        </row>
        <row r="424">
          <cell r="A424" t="str">
            <v>Axis Bank Ltd , Colaba , India</v>
          </cell>
        </row>
        <row r="425">
          <cell r="A425" t="str">
            <v>Bank Julius Baer &amp; Co Ltd , Zürich , Switzerland</v>
          </cell>
        </row>
        <row r="426">
          <cell r="A426" t="str">
            <v>Deutsche Bank SpA , Milan , Italy</v>
          </cell>
        </row>
        <row r="427">
          <cell r="A427" t="str">
            <v>Kuwait Finance House KSC , Kuwait City , Kuwait</v>
          </cell>
        </row>
        <row r="428">
          <cell r="A428" t="str">
            <v>Intesa Sanpaolo Bank Ireland plc , Dublin , Ireland</v>
          </cell>
        </row>
        <row r="429">
          <cell r="A429" t="str">
            <v>The Kyoto Chuo Shinkin Bank , Kyoto , Japan</v>
          </cell>
        </row>
        <row r="430">
          <cell r="A430" t="str">
            <v>HSBC Bank Middle East Limited , St. Helier , Channel Islands</v>
          </cell>
        </row>
        <row r="431">
          <cell r="A431" t="str">
            <v>Westdeutsche ImmobilienBank AG , Mainz , Germany</v>
          </cell>
        </row>
        <row r="432">
          <cell r="A432" t="str">
            <v>The Ogaki Kyoritsu Bank Ltd , Ogaki , Japan</v>
          </cell>
        </row>
        <row r="433">
          <cell r="A433" t="str">
            <v>Kibris Continental Bank Ltd , Nicosia , Cyprus</v>
          </cell>
        </row>
        <row r="434">
          <cell r="A434" t="str">
            <v>The Hyakujushi Bank Ltd , Takamatsu , Japan</v>
          </cell>
        </row>
        <row r="435">
          <cell r="A435" t="str">
            <v>Santander Consumer Bank AG , Mönchengladbach , Germany</v>
          </cell>
        </row>
        <row r="436">
          <cell r="A436" t="str">
            <v>Krung Thai Bank Public Co Ltd , Bangkok , Thailand</v>
          </cell>
        </row>
        <row r="437">
          <cell r="A437" t="str">
            <v>Banco Bradesco Financiamentos , Chacara Itaim , Brazil</v>
          </cell>
        </row>
        <row r="438">
          <cell r="A438" t="str">
            <v>Banca Popolare di Bergamo SpA , Bergamo , Italy</v>
          </cell>
        </row>
        <row r="439">
          <cell r="A439" t="str">
            <v>The San-in Godo Bank Ltd , Matsue , Japan</v>
          </cell>
        </row>
        <row r="440">
          <cell r="A440" t="str">
            <v>Banco Safra SA , São Paulo , Brazil</v>
          </cell>
        </row>
        <row r="441">
          <cell r="A441" t="str">
            <v>Komercní banka as , Prague , Czech Republic</v>
          </cell>
        </row>
        <row r="442">
          <cell r="A442" t="str">
            <v>AXA Bank Europe NV , Brussels , Belgium</v>
          </cell>
        </row>
        <row r="443">
          <cell r="A443" t="str">
            <v>KASIKORNBANK Public Company Limited , Bangkok , Thailand</v>
          </cell>
        </row>
        <row r="444">
          <cell r="A444" t="str">
            <v>Taipei Fubon Commercial Bank Co Ltd , Taipei City , Taiwan</v>
          </cell>
        </row>
        <row r="445">
          <cell r="A445" t="str">
            <v>Caja de Ahorros de Castilla La Mancha , Cuenca , Spain</v>
          </cell>
        </row>
        <row r="446">
          <cell r="A446" t="str">
            <v>Taiwan Business Bank , Taipei City , Taiwan</v>
          </cell>
        </row>
        <row r="447">
          <cell r="A447" t="str">
            <v>The Higo Bank Ltd , Kumamoto , Japan</v>
          </cell>
        </row>
        <row r="448">
          <cell r="A448" t="str">
            <v>Bendigo and Adelaide Bank Limited , Bendigo , Australia</v>
          </cell>
        </row>
        <row r="449">
          <cell r="A449" t="str">
            <v>Nykredit Bank A/S , Copenhagen , Denmark</v>
          </cell>
        </row>
        <row r="450">
          <cell r="A450" t="str">
            <v>The Kinki Osaka Bank Ltd , Osaka , Japan</v>
          </cell>
        </row>
        <row r="451">
          <cell r="A451" t="str">
            <v>Banca Popolare di Vicenza SCPA , Vicenza , Italy</v>
          </cell>
        </row>
        <row r="452">
          <cell r="A452" t="str">
            <v>The Johnan Shinkin Bank , Tokyo , Japan</v>
          </cell>
        </row>
        <row r="453">
          <cell r="A453" t="str">
            <v>The Siam Commercial Bank PCL , Bangkok , Thailand</v>
          </cell>
        </row>
        <row r="454">
          <cell r="A454" t="str">
            <v>Bank Tejarat , Tehran , Iran</v>
          </cell>
        </row>
        <row r="455">
          <cell r="A455" t="str">
            <v>Swedbank AS , Tallinn , Estonia</v>
          </cell>
        </row>
        <row r="456">
          <cell r="A456" t="str">
            <v>Banque Cantonale Vaudoise , Lausanne , Switzerland</v>
          </cell>
        </row>
        <row r="457">
          <cell r="A457" t="str">
            <v>Caja España de Inversiones, Caja de Ahorros y Monte de Piedad , León , Spain</v>
          </cell>
        </row>
        <row r="458">
          <cell r="A458" t="str">
            <v>The Musashino Bank Ltd , Saitama , Japan</v>
          </cell>
        </row>
        <row r="459">
          <cell r="A459" t="str">
            <v>Kansai Urban Banking Corporation , Osaka , Japan</v>
          </cell>
        </row>
        <row r="460">
          <cell r="A460" t="str">
            <v>Kreissparkasse Köln , Cologne , Germany</v>
          </cell>
        </row>
        <row r="461">
          <cell r="A461" t="str">
            <v>Banco de Chile , Santiago , Chile</v>
          </cell>
        </row>
        <row r="462">
          <cell r="A462" t="str">
            <v>The Kiyo Bank Ltd , Wakayama , Japan</v>
          </cell>
        </row>
        <row r="463">
          <cell r="A463" t="str">
            <v>Credito Emiliano SpA , Reggio Emilia , Italy</v>
          </cell>
        </row>
        <row r="464">
          <cell r="A464" t="str">
            <v>First Gulf Bank , Abu Dhabi , UAE</v>
          </cell>
        </row>
        <row r="465">
          <cell r="A465" t="str">
            <v>The Saudi British Bank , Riyadh , Saudi Arabia</v>
          </cell>
        </row>
        <row r="466">
          <cell r="A466" t="str">
            <v>Banque Extérieure d'Algérie , Algiers , Algeria</v>
          </cell>
        </row>
        <row r="467">
          <cell r="A467" t="str">
            <v>Beijing Rural Commercial Bank Co Ltd , Beijing , China</v>
          </cell>
        </row>
        <row r="468">
          <cell r="A468" t="str">
            <v>Banco del Estado de Chile , Santiago , Chile</v>
          </cell>
        </row>
        <row r="469">
          <cell r="A469" t="str">
            <v>Sampo Bank plc , Helsinki , Finland</v>
          </cell>
        </row>
        <row r="470">
          <cell r="A470" t="str">
            <v>The Keiyo Bank Ltd , Chiba , Japan</v>
          </cell>
        </row>
        <row r="471">
          <cell r="A471" t="str">
            <v>Banco de Valencia SA , Valencia , Spain</v>
          </cell>
        </row>
        <row r="472">
          <cell r="A472" t="str">
            <v>Marfin Egnatia Bank SA , Thessaloniki , Greece</v>
          </cell>
        </row>
        <row r="473">
          <cell r="A473" t="str">
            <v>Banco di Brescia San Paolo Cab SpA , Brescia , Italy</v>
          </cell>
        </row>
        <row r="474">
          <cell r="A474" t="str">
            <v>Citizens Bank of Pennsylvania , Philadelphia , USA</v>
          </cell>
        </row>
        <row r="475">
          <cell r="A475" t="str">
            <v>Nordic Investment Bank , Helsinki , Finland</v>
          </cell>
        </row>
        <row r="476">
          <cell r="A476" t="str">
            <v>Banque Saudi Fransi , Riyadh , Saudi Arabia</v>
          </cell>
        </row>
        <row r="477">
          <cell r="A477" t="str">
            <v>Union Bank of India , Mumbai , India</v>
          </cell>
        </row>
        <row r="478">
          <cell r="A478" t="str">
            <v>Caja de Ahorros de Murcia , Murcia , Spain</v>
          </cell>
        </row>
        <row r="479">
          <cell r="A479" t="str">
            <v>Banca Popolare di Sondrio Società Cooperativa per Azioni , Sondrio , Italy</v>
          </cell>
        </row>
        <row r="480">
          <cell r="A480" t="str">
            <v>UniCredit Bank Ireland plc , Dublin , Ireland</v>
          </cell>
        </row>
        <row r="481">
          <cell r="A481" t="str">
            <v>The Kagoshima Bank Ltd , Kagoshima , Japan</v>
          </cell>
        </row>
        <row r="482">
          <cell r="A482" t="str">
            <v>MIGROSBANK , Zürich , Switzerland</v>
          </cell>
        </row>
        <row r="483">
          <cell r="A483" t="str">
            <v>Suruga Bank Ltd , Numazu , Japan</v>
          </cell>
        </row>
        <row r="484">
          <cell r="A484" t="str">
            <v>Standard Bank Plc , London , UK</v>
          </cell>
        </row>
        <row r="485">
          <cell r="A485" t="str">
            <v>The Hokkoku Bank Ltd , Kanazawa , Japan</v>
          </cell>
        </row>
        <row r="486">
          <cell r="A486" t="str">
            <v>Evergrowing Bank Co Ltd , Yantai , China</v>
          </cell>
        </row>
        <row r="487">
          <cell r="A487" t="str">
            <v>Mizrahi Tefahot Bank Ltd , Ramat Gan , Israel</v>
          </cell>
        </row>
        <row r="488">
          <cell r="A488" t="str">
            <v>Bank SinoPac Company Limited , Taipei City , Taiwan</v>
          </cell>
        </row>
        <row r="489">
          <cell r="A489" t="str">
            <v>Shanghai Rural Commercial Bank Co Ltd , Shanghai , China</v>
          </cell>
        </row>
        <row r="490">
          <cell r="A490" t="str">
            <v>Caja Laboral Popular Coop. de Crédito , Mondragón , Spain</v>
          </cell>
        </row>
        <row r="491">
          <cell r="A491" t="str">
            <v>KA Finanz AG , Vienna , Austria</v>
          </cell>
        </row>
        <row r="492">
          <cell r="A492" t="str">
            <v>The Bank of Nagoya Ltd , Nagoya , Japan</v>
          </cell>
        </row>
        <row r="493">
          <cell r="A493" t="str">
            <v>Oriental Bank of Commerce , New Delhi , India</v>
          </cell>
        </row>
        <row r="494">
          <cell r="A494" t="str">
            <v>UCO Bank , Kolkata (Calcutta) , India</v>
          </cell>
        </row>
        <row r="495">
          <cell r="A495" t="str">
            <v>Van Lanschot NV , 's Hertogenbosch , Netherlands</v>
          </cell>
        </row>
        <row r="496">
          <cell r="A496" t="str">
            <v>Caja Duero , Salamanca , Spain</v>
          </cell>
        </row>
        <row r="497">
          <cell r="A497" t="str">
            <v>Eurobank EFG Cyprus Ltd , Nicosia , Cyprus</v>
          </cell>
        </row>
        <row r="498">
          <cell r="A498" t="str">
            <v>Caja de Ahorros y Monte de Piedad de Gipuzkoa y San Sebastian , Donostia-San Sebastián , Spain</v>
          </cell>
        </row>
        <row r="499">
          <cell r="A499" t="str">
            <v>The Toho Bank Ltd , Fukushima , Japan</v>
          </cell>
        </row>
        <row r="500">
          <cell r="A500" t="str">
            <v>PT Bank Central Asia Tbk , Jakarta , Indonesia</v>
          </cell>
        </row>
        <row r="501">
          <cell r="A501" t="str">
            <v>Crédit Agricole (Suisse) SA , Geneva , Switzerland</v>
          </cell>
        </row>
        <row r="502">
          <cell r="A502" t="str">
            <v>Norddeutsche Landesbank Luxembourg SA , Luxembourg , Luxembourg</v>
          </cell>
        </row>
        <row r="503">
          <cell r="A503" t="str">
            <v>HSBC Mexico SA , México City , Mexico</v>
          </cell>
        </row>
        <row r="504">
          <cell r="A504" t="str">
            <v>Chongqing Rural Commercial Bank , Chongqing , China</v>
          </cell>
        </row>
        <row r="505">
          <cell r="A505" t="str">
            <v>Arab National Bank , Riyadh , Saudi Arabia</v>
          </cell>
        </row>
        <row r="506">
          <cell r="A506" t="str">
            <v>E.Sun Commercial Bank Ltd , Taipei City , Taiwan</v>
          </cell>
        </row>
        <row r="507">
          <cell r="A507" t="str">
            <v>Indian Overseas Bank , Chennai , India</v>
          </cell>
        </row>
        <row r="508">
          <cell r="A508" t="str">
            <v>Sydbank A/S , Aabenraa , Denmark</v>
          </cell>
        </row>
        <row r="509">
          <cell r="A509" t="str">
            <v>The Minato Bank Ltd , Kobe , Japan</v>
          </cell>
        </row>
        <row r="510">
          <cell r="A510" t="str">
            <v>Banque Misr SAE , Cairo , Egypt</v>
          </cell>
        </row>
        <row r="511">
          <cell r="A511" t="str">
            <v>Bank of Queensland Limited , Brisbane , Australia</v>
          </cell>
        </row>
        <row r="512">
          <cell r="A512" t="str">
            <v>Nova Ljubljanska banka dd , Ljubljana , Slovenia</v>
          </cell>
        </row>
        <row r="513">
          <cell r="A513" t="str">
            <v>Banca CR Firenze SpA , Florence , Italy</v>
          </cell>
        </row>
        <row r="514">
          <cell r="A514" t="str">
            <v>KBC Bank Ireland plc , Dublin , Ireland</v>
          </cell>
        </row>
        <row r="515">
          <cell r="A515" t="str">
            <v>DBS Bank (Hong Kong) Limited , Hong Kong , Hong Kong</v>
          </cell>
        </row>
        <row r="516">
          <cell r="A516" t="str">
            <v>LfA Förderbank Bayern , Munich , Germany</v>
          </cell>
        </row>
        <row r="517">
          <cell r="A517" t="str">
            <v>Sal. Oppenheim jr. &amp; Cie. KGaA , Cologne , Germany</v>
          </cell>
        </row>
        <row r="518">
          <cell r="A518" t="str">
            <v>Industrial and Commercial Bank of China (Asia) Ltd , Hong Kong , Hong Kong</v>
          </cell>
        </row>
        <row r="519">
          <cell r="A519" t="str">
            <v>Caja de Ahorros y Monte de Piedad de Navarra , Pamplona , Spain</v>
          </cell>
        </row>
        <row r="520">
          <cell r="A520" t="str">
            <v>The First International Bank of Israel Ltd , Tel Aviv , Israel</v>
          </cell>
        </row>
        <row r="521">
          <cell r="A521" t="str">
            <v>RHB Bank Berhad , Kuala Lumpur , Malaysia</v>
          </cell>
        </row>
        <row r="522">
          <cell r="A522" t="str">
            <v>RBC Bank (USA) , Raleigh , USA</v>
          </cell>
        </row>
        <row r="523">
          <cell r="A523" t="str">
            <v>Russian Agricultural Bank , Moscow , Russian Federation</v>
          </cell>
        </row>
        <row r="524">
          <cell r="A524" t="str">
            <v>Bank of Moscow , Moscow , Russian Federation</v>
          </cell>
        </row>
        <row r="525">
          <cell r="A525" t="str">
            <v>The Export-Import Bank of Korea , Seoul , Korea (Republic of)</v>
          </cell>
        </row>
        <row r="526">
          <cell r="A526" t="str">
            <v>Allahabad Bank , Kolkata (Calcutta) , India</v>
          </cell>
        </row>
        <row r="527">
          <cell r="A527" t="str">
            <v>Momiji Bank Ltd , Hiroshima , Japan</v>
          </cell>
        </row>
        <row r="528">
          <cell r="A528" t="str">
            <v>African Development Bank , Abidjan , Côte d'Ivoire</v>
          </cell>
        </row>
        <row r="529">
          <cell r="A529" t="str">
            <v>HSBC Trinkaus &amp; Burkhardt AG , Düsseldorf , Germany</v>
          </cell>
        </row>
        <row r="530">
          <cell r="A530" t="str">
            <v>Syndicate Bank , Manipal , India</v>
          </cell>
        </row>
        <row r="531">
          <cell r="A531" t="str">
            <v>BHF-BANK Aktiengesellschaft , Frankfurt am Main , Germany</v>
          </cell>
        </row>
        <row r="532">
          <cell r="A532" t="str">
            <v>Landesbank Saar , Saarbrücken , Germany</v>
          </cell>
        </row>
        <row r="533">
          <cell r="A533" t="str">
            <v>Banca delle Marche SpA , Jesi , Italy</v>
          </cell>
        </row>
        <row r="534">
          <cell r="A534" t="str">
            <v>Eurobank EFG Private Bank Luxembourg SA , Luxembourg , Luxembourg</v>
          </cell>
        </row>
        <row r="535">
          <cell r="A535" t="str">
            <v>Bank Audi sal - Audi Saradar Group , Beirut , Lebanon</v>
          </cell>
        </row>
        <row r="536">
          <cell r="A536" t="str">
            <v>Deutsche Postbank International SA , Munsbach , Luxembourg</v>
          </cell>
        </row>
        <row r="537">
          <cell r="A537" t="str">
            <v>The Okazaki Shinkin Bank , Okazaki , Japan</v>
          </cell>
        </row>
        <row r="538">
          <cell r="A538" t="str">
            <v>Kommunalkredit Austria AG , Vienna , Austria</v>
          </cell>
        </row>
        <row r="539">
          <cell r="A539" t="str">
            <v>The Oita Bank Ltd , Oita , Japan</v>
          </cell>
        </row>
        <row r="540">
          <cell r="A540" t="str">
            <v>The Yamanashi Chuo Bank Ltd , Kofu , Japan</v>
          </cell>
        </row>
        <row r="541">
          <cell r="A541" t="str">
            <v>Taishin International Bank , Taipei City , Taiwan</v>
          </cell>
        </row>
        <row r="542">
          <cell r="A542" t="str">
            <v>Arab Banking Corporation (BSC) , Manama , Bahrain</v>
          </cell>
        </row>
        <row r="543">
          <cell r="A543" t="str">
            <v>The Awa Bank Ltd , Tokushima , Japan</v>
          </cell>
        </row>
        <row r="544">
          <cell r="A544" t="str">
            <v>Banco de Crédito e Inversiones , Santiago , Chile</v>
          </cell>
        </row>
        <row r="545">
          <cell r="A545" t="str">
            <v>First Tennessee Bank National Association , Memphis , USA</v>
          </cell>
        </row>
        <row r="546">
          <cell r="A546" t="str">
            <v>MashreqBank PSC , Dubai City , UAE</v>
          </cell>
        </row>
        <row r="547">
          <cell r="A547" t="str">
            <v>The Aichi Bank Ltd , Nagoya , Japan</v>
          </cell>
        </row>
        <row r="548">
          <cell r="A548" t="str">
            <v>Banque de Luxembourg SA , Luxembourg , Luxembourg</v>
          </cell>
        </row>
        <row r="549">
          <cell r="A549" t="str">
            <v>Deutsche Bank SAE , Barcelona , Spain</v>
          </cell>
        </row>
        <row r="550">
          <cell r="A550" t="str">
            <v>MBNA Europe Bank Ltd , Chester , UK</v>
          </cell>
        </row>
        <row r="551">
          <cell r="A551" t="str">
            <v>Attijariwafa bank , Casablanca , Morocco</v>
          </cell>
        </row>
        <row r="552">
          <cell r="A552" t="str">
            <v>Frankfurter Sparkasse , Frankfurt am Main , Germany</v>
          </cell>
        </row>
        <row r="553">
          <cell r="A553" t="str">
            <v>CIC OUEST , Nantes , France</v>
          </cell>
        </row>
        <row r="554">
          <cell r="A554" t="str">
            <v>Clariden Leu AG , Zürich , Switzerland</v>
          </cell>
        </row>
        <row r="555">
          <cell r="A555" t="str">
            <v>Corporation Bank , Mangalore , India</v>
          </cell>
        </row>
        <row r="556">
          <cell r="A556" t="str">
            <v>DVB Bank SE , Frankfurt am Main , Germany</v>
          </cell>
        </row>
        <row r="557">
          <cell r="A557" t="str">
            <v>Caixa Económica Montepio Geral , Lisbon , Portugal</v>
          </cell>
        </row>
        <row r="558">
          <cell r="A558" t="str">
            <v>The Shikoku Bank Ltd , Kochi , Japan</v>
          </cell>
        </row>
        <row r="559">
          <cell r="A559" t="str">
            <v>The Bank of Iwate Ltd , Morioka , Japan</v>
          </cell>
        </row>
        <row r="560">
          <cell r="A560" t="str">
            <v>PT Bank Negara Indonesia (Persero) Tbk , Jakarta , Indonesia</v>
          </cell>
        </row>
        <row r="561">
          <cell r="A561" t="str">
            <v>The Tokyo Tomin Bank Ltd , Tokyo , Japan</v>
          </cell>
        </row>
        <row r="562">
          <cell r="A562" t="str">
            <v>BRE Bank SA , Warsaw , Poland</v>
          </cell>
        </row>
        <row r="563">
          <cell r="A563" t="str">
            <v>Banc of America Securities Limited , London , UK</v>
          </cell>
        </row>
        <row r="564">
          <cell r="A564" t="str">
            <v>Bank of Ningbo Co Ltd , Ningbo , China</v>
          </cell>
        </row>
        <row r="565">
          <cell r="A565" t="str">
            <v>Coutts &amp; Co , London , UK</v>
          </cell>
        </row>
        <row r="566">
          <cell r="A566" t="str">
            <v>Huishang Bank Corporation Ltd , Hefei , China</v>
          </cell>
        </row>
        <row r="567">
          <cell r="A567" t="str">
            <v>Tochigi Bank Ltd , Utsunomiya , Japan</v>
          </cell>
        </row>
        <row r="568">
          <cell r="A568" t="str">
            <v>Ahli United Bank BSC , Manama , Bahrain</v>
          </cell>
        </row>
        <row r="569">
          <cell r="A569" t="str">
            <v>Bank VTB 24 (closed joint-stock company) , Moscow , Russian Federation</v>
          </cell>
        </row>
        <row r="570">
          <cell r="A570" t="str">
            <v>Banca Comerciala Romana SA , Bucharest , Romania</v>
          </cell>
        </row>
        <row r="571">
          <cell r="A571" t="str">
            <v>The Johoku Shinkin Bank , Tokyo , Japan</v>
          </cell>
        </row>
        <row r="572">
          <cell r="A572" t="str">
            <v>The Amagasaki Shinkin Bank , Amagasaki , Japan</v>
          </cell>
        </row>
      </sheetData>
      <sheetData sheetId="8"/>
      <sheetData sheetId="9" refreshError="1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Local"/>
      <sheetName val="Result Local Bank"/>
      <sheetName val="Kesehatan"/>
      <sheetName val="Draft Template Foreign"/>
      <sheetName val="Result Foreign Bank"/>
      <sheetName val="Key Value"/>
      <sheetName val="Template Foreign"/>
      <sheetName val="Counterparty"/>
      <sheetName val="Indikator"/>
      <sheetName val="Data"/>
      <sheetName val="Indikator Bank"/>
      <sheetName val="Z-SCORE"/>
      <sheetName val="Sheet1"/>
      <sheetName val="Sheet2"/>
      <sheetName val="C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Standard Chartered Bank</v>
          </cell>
        </row>
        <row r="44">
          <cell r="N44" t="str">
            <v>Aaa</v>
          </cell>
        </row>
        <row r="45">
          <cell r="N45" t="str">
            <v>Aa1</v>
          </cell>
        </row>
        <row r="46">
          <cell r="N46" t="str">
            <v>Aa2</v>
          </cell>
        </row>
        <row r="47">
          <cell r="N47" t="str">
            <v>Aa3</v>
          </cell>
        </row>
        <row r="48">
          <cell r="N48" t="str">
            <v>A1</v>
          </cell>
        </row>
        <row r="49">
          <cell r="N49" t="str">
            <v>A2</v>
          </cell>
        </row>
        <row r="50">
          <cell r="N50" t="str">
            <v>A3</v>
          </cell>
        </row>
        <row r="51">
          <cell r="N51" t="str">
            <v>Baa1</v>
          </cell>
        </row>
        <row r="52">
          <cell r="N52" t="str">
            <v>Baa2</v>
          </cell>
        </row>
        <row r="53">
          <cell r="N53" t="str">
            <v>Baa3</v>
          </cell>
        </row>
        <row r="54">
          <cell r="N54" t="str">
            <v>Ba1</v>
          </cell>
        </row>
        <row r="55">
          <cell r="N55" t="str">
            <v>Ba2</v>
          </cell>
        </row>
        <row r="56">
          <cell r="N56" t="str">
            <v>Ba3</v>
          </cell>
        </row>
        <row r="57">
          <cell r="N57" t="str">
            <v>B1</v>
          </cell>
        </row>
        <row r="58">
          <cell r="N58" t="str">
            <v>B2</v>
          </cell>
        </row>
        <row r="59">
          <cell r="N59" t="str">
            <v>B3</v>
          </cell>
        </row>
        <row r="60">
          <cell r="N60" t="str">
            <v>Caa1</v>
          </cell>
        </row>
        <row r="61">
          <cell r="N61" t="str">
            <v>Caa2</v>
          </cell>
        </row>
        <row r="62">
          <cell r="N62" t="str">
            <v>Caa3</v>
          </cell>
        </row>
        <row r="63">
          <cell r="N63" t="str">
            <v>Ca</v>
          </cell>
        </row>
        <row r="64">
          <cell r="N64" t="str">
            <v>C</v>
          </cell>
        </row>
        <row r="65">
          <cell r="N65" t="str">
            <v>none</v>
          </cell>
        </row>
        <row r="66">
          <cell r="N66" t="str">
            <v>AAA</v>
          </cell>
        </row>
        <row r="67">
          <cell r="N67" t="str">
            <v>AA+</v>
          </cell>
        </row>
        <row r="68">
          <cell r="N68" t="str">
            <v>AA</v>
          </cell>
        </row>
        <row r="69">
          <cell r="N69" t="str">
            <v>AA-</v>
          </cell>
        </row>
        <row r="70">
          <cell r="N70" t="str">
            <v>A+</v>
          </cell>
        </row>
        <row r="71">
          <cell r="N71" t="str">
            <v>A</v>
          </cell>
        </row>
        <row r="72">
          <cell r="N72" t="str">
            <v>A-</v>
          </cell>
        </row>
        <row r="73">
          <cell r="N73" t="str">
            <v>BBB+</v>
          </cell>
        </row>
        <row r="74">
          <cell r="N74" t="str">
            <v xml:space="preserve">BBB </v>
          </cell>
        </row>
        <row r="75">
          <cell r="N75" t="str">
            <v>BBB-</v>
          </cell>
        </row>
        <row r="76">
          <cell r="N76" t="str">
            <v>BB+</v>
          </cell>
        </row>
        <row r="77">
          <cell r="N77" t="str">
            <v>BB</v>
          </cell>
        </row>
        <row r="78">
          <cell r="N78" t="str">
            <v>BB-</v>
          </cell>
        </row>
        <row r="79">
          <cell r="N79" t="str">
            <v>B+</v>
          </cell>
        </row>
        <row r="80">
          <cell r="N80" t="str">
            <v>B</v>
          </cell>
        </row>
        <row r="81">
          <cell r="N81" t="str">
            <v>B-</v>
          </cell>
        </row>
        <row r="82">
          <cell r="N82" t="str">
            <v>CCC+</v>
          </cell>
        </row>
        <row r="83">
          <cell r="N83" t="str">
            <v xml:space="preserve">CCC </v>
          </cell>
        </row>
        <row r="84">
          <cell r="N84" t="str">
            <v>CCC-</v>
          </cell>
        </row>
        <row r="85">
          <cell r="N85" t="str">
            <v>CC</v>
          </cell>
        </row>
        <row r="86">
          <cell r="N86" t="str">
            <v>C</v>
          </cell>
        </row>
        <row r="87">
          <cell r="N87" t="str">
            <v>D</v>
          </cell>
        </row>
        <row r="88">
          <cell r="N88" t="str">
            <v>none</v>
          </cell>
        </row>
        <row r="89">
          <cell r="N89" t="str">
            <v>AAA</v>
          </cell>
        </row>
        <row r="90">
          <cell r="N90" t="str">
            <v>AA+</v>
          </cell>
        </row>
        <row r="91">
          <cell r="N91" t="str">
            <v>AA</v>
          </cell>
        </row>
        <row r="92">
          <cell r="N92" t="str">
            <v>AA-</v>
          </cell>
        </row>
        <row r="93">
          <cell r="N93" t="str">
            <v>A+</v>
          </cell>
        </row>
        <row r="94">
          <cell r="N94" t="str">
            <v>A</v>
          </cell>
        </row>
        <row r="95">
          <cell r="N95" t="str">
            <v>A-</v>
          </cell>
        </row>
        <row r="96">
          <cell r="N96" t="str">
            <v>BBB+</v>
          </cell>
        </row>
        <row r="97">
          <cell r="N97" t="str">
            <v>BBB</v>
          </cell>
        </row>
        <row r="98">
          <cell r="N98" t="str">
            <v>BBB-</v>
          </cell>
        </row>
        <row r="99">
          <cell r="N99" t="str">
            <v>BB+</v>
          </cell>
        </row>
        <row r="100">
          <cell r="N100" t="str">
            <v>BB</v>
          </cell>
        </row>
        <row r="101">
          <cell r="N101" t="str">
            <v>BB-</v>
          </cell>
        </row>
        <row r="102">
          <cell r="N102" t="str">
            <v>B+</v>
          </cell>
        </row>
        <row r="103">
          <cell r="N103" t="str">
            <v>B</v>
          </cell>
        </row>
        <row r="104">
          <cell r="N104" t="str">
            <v>B-</v>
          </cell>
        </row>
        <row r="105">
          <cell r="N105" t="str">
            <v>CCC</v>
          </cell>
        </row>
        <row r="106">
          <cell r="N106" t="str">
            <v>CC</v>
          </cell>
        </row>
        <row r="107">
          <cell r="N107" t="str">
            <v>C</v>
          </cell>
        </row>
        <row r="108">
          <cell r="N108" t="str">
            <v>RD</v>
          </cell>
        </row>
        <row r="109">
          <cell r="N109" t="str">
            <v>D</v>
          </cell>
        </row>
        <row r="110">
          <cell r="N110" t="str">
            <v>none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Local"/>
      <sheetName val="Result"/>
      <sheetName val="Kesehatan"/>
      <sheetName val="Eksternal"/>
      <sheetName val="Counterparty"/>
      <sheetName val="CDS"/>
      <sheetName val="Sheet1"/>
      <sheetName val="Template Local (2)"/>
    </sheetNames>
    <sheetDataSet>
      <sheetData sheetId="0"/>
      <sheetData sheetId="1">
        <row r="74">
          <cell r="D74" t="str">
            <v>Ya</v>
          </cell>
        </row>
        <row r="75">
          <cell r="D75" t="str">
            <v>Tidak</v>
          </cell>
        </row>
      </sheetData>
      <sheetData sheetId="2"/>
      <sheetData sheetId="3"/>
      <sheetData sheetId="4">
        <row r="2">
          <cell r="C2" t="str">
            <v>&lt; 3 TAHUN</v>
          </cell>
          <cell r="E2">
            <v>1</v>
          </cell>
        </row>
        <row r="3">
          <cell r="C3" t="str">
            <v>3 - 5 TAHUN</v>
          </cell>
          <cell r="D3">
            <v>1</v>
          </cell>
          <cell r="E3">
            <v>1</v>
          </cell>
        </row>
        <row r="4">
          <cell r="C4" t="str">
            <v>6 - 10 TAHUN</v>
          </cell>
          <cell r="D4">
            <v>0.75</v>
          </cell>
          <cell r="E4">
            <v>2</v>
          </cell>
        </row>
        <row r="5">
          <cell r="C5" t="str">
            <v>10 - 15 TAHUN</v>
          </cell>
          <cell r="D5">
            <v>0.5</v>
          </cell>
          <cell r="E5">
            <v>3</v>
          </cell>
        </row>
        <row r="6">
          <cell r="C6" t="str">
            <v>15 - 20 TAHUN</v>
          </cell>
          <cell r="D6">
            <v>0.25</v>
          </cell>
          <cell r="E6">
            <v>4</v>
          </cell>
        </row>
        <row r="7">
          <cell r="C7" t="str">
            <v>&gt; 20 TAHUN</v>
          </cell>
          <cell r="D7">
            <v>0</v>
          </cell>
          <cell r="E7">
            <v>5</v>
          </cell>
        </row>
        <row r="17">
          <cell r="K17" t="str">
            <v>Pemerintah/Pemda</v>
          </cell>
          <cell r="L17">
            <v>0</v>
          </cell>
          <cell r="M17">
            <v>5</v>
          </cell>
        </row>
        <row r="18">
          <cell r="K18" t="str">
            <v>Asing</v>
          </cell>
          <cell r="L18">
            <v>0.5</v>
          </cell>
          <cell r="M18">
            <v>2</v>
          </cell>
        </row>
        <row r="19">
          <cell r="K19" t="str">
            <v>Individual</v>
          </cell>
          <cell r="L19">
            <v>1</v>
          </cell>
          <cell r="M19">
            <v>1</v>
          </cell>
        </row>
        <row r="20">
          <cell r="K20" t="str">
            <v>Bank Pemerintah</v>
          </cell>
          <cell r="M20">
            <v>5</v>
          </cell>
        </row>
        <row r="21">
          <cell r="K21" t="str">
            <v>Bank Pembangunan Daerah</v>
          </cell>
          <cell r="M21">
            <v>5</v>
          </cell>
        </row>
        <row r="22">
          <cell r="K22" t="str">
            <v>Bank Swasta Nasional Devisa</v>
          </cell>
          <cell r="M22">
            <v>4</v>
          </cell>
        </row>
        <row r="23">
          <cell r="K23" t="str">
            <v>Bank Swasta Nasional Non Devisa</v>
          </cell>
          <cell r="M23">
            <v>3</v>
          </cell>
        </row>
        <row r="24">
          <cell r="K24" t="str">
            <v>Bank Asing</v>
          </cell>
          <cell r="M24">
            <v>2</v>
          </cell>
        </row>
        <row r="26">
          <cell r="K26" t="str">
            <v>Tidak Pernah</v>
          </cell>
          <cell r="L26">
            <v>0</v>
          </cell>
          <cell r="M26">
            <v>5</v>
          </cell>
        </row>
        <row r="27">
          <cell r="K27" t="str">
            <v>1 Kali</v>
          </cell>
          <cell r="L27">
            <v>0.5</v>
          </cell>
          <cell r="M27">
            <v>3</v>
          </cell>
        </row>
        <row r="28">
          <cell r="K28" t="str">
            <v>&gt; 1 Kali</v>
          </cell>
          <cell r="L28">
            <v>1</v>
          </cell>
          <cell r="M28">
            <v>1</v>
          </cell>
        </row>
        <row r="30">
          <cell r="K30" t="str">
            <v>Investment Grade</v>
          </cell>
          <cell r="L30">
            <v>0</v>
          </cell>
          <cell r="M30">
            <v>5</v>
          </cell>
        </row>
        <row r="31">
          <cell r="K31" t="str">
            <v>Speculative Grade</v>
          </cell>
          <cell r="L31">
            <v>1</v>
          </cell>
          <cell r="M31">
            <v>1</v>
          </cell>
        </row>
        <row r="32">
          <cell r="K32" t="str">
            <v>Tidak Ada</v>
          </cell>
          <cell r="M32">
            <v>1</v>
          </cell>
        </row>
        <row r="33">
          <cell r="K33" t="str">
            <v>Ya</v>
          </cell>
        </row>
        <row r="34">
          <cell r="K34" t="str">
            <v>Tidak</v>
          </cell>
        </row>
        <row r="48">
          <cell r="K48" t="str">
            <v>Tidak Mempunyai pengalaman dan kompetensi : &lt; 2 tahun di bidang yang sama</v>
          </cell>
          <cell r="L48">
            <v>1</v>
          </cell>
        </row>
        <row r="49">
          <cell r="K49" t="str">
            <v>Dikelola oleh orang yang mempunyai pengalaman yang terbatas : 2 - 4 Tahun di bidang yang sama</v>
          </cell>
          <cell r="L49">
            <v>2</v>
          </cell>
        </row>
        <row r="50">
          <cell r="K50" t="str">
            <v>Dikelola oleh orang yang mempunyai pengalaman di bidang yang sama selama 4-6 tahun</v>
          </cell>
          <cell r="L50">
            <v>3</v>
          </cell>
        </row>
        <row r="51">
          <cell r="K51" t="str">
            <v>Dikelola oleh orang yang mempunyai pengalaman di bidang yang sama selama 6-10 tahun</v>
          </cell>
          <cell r="L51">
            <v>4</v>
          </cell>
        </row>
        <row r="52">
          <cell r="K52" t="str">
            <v>Dikelola oleh orang yang mempunyai pengalaman di bidang yang sama selama &gt; 10 tahun</v>
          </cell>
          <cell r="L52">
            <v>5</v>
          </cell>
        </row>
        <row r="56">
          <cell r="K56" t="str">
            <v>Memadai</v>
          </cell>
        </row>
        <row r="57">
          <cell r="K57" t="str">
            <v>Tidak Memadai</v>
          </cell>
        </row>
        <row r="69">
          <cell r="K69" t="str">
            <v>Jangkauan Luas hingga ke Luar Negri</v>
          </cell>
        </row>
        <row r="70">
          <cell r="K70" t="str">
            <v>Jangkauan Terbatas di Dalam Negri</v>
          </cell>
        </row>
        <row r="73">
          <cell r="K73" t="str">
            <v>Luar Negri</v>
          </cell>
        </row>
        <row r="74">
          <cell r="K74" t="str">
            <v>Dalam Negri</v>
          </cell>
        </row>
      </sheetData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Local"/>
      <sheetName val="Result"/>
      <sheetName val="Kesehatan"/>
      <sheetName val="Eksternal"/>
      <sheetName val="Counterparty"/>
      <sheetName val="Indikator"/>
      <sheetName val="CD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0">
          <cell r="D90" t="str">
            <v>Jangkauan Luas hingga ke Luar Negri</v>
          </cell>
        </row>
        <row r="91">
          <cell r="D91" t="str">
            <v>Jangkauan Terbatas di Dalam Negri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4"/>
  <sheetViews>
    <sheetView workbookViewId="0">
      <selection activeCell="B23" sqref="B23"/>
    </sheetView>
  </sheetViews>
  <sheetFormatPr defaultRowHeight="15" x14ac:dyDescent="0.25"/>
  <cols>
    <col min="1" max="1" width="7.140625" bestFit="1" customWidth="1"/>
    <col min="2" max="2" width="78.42578125" bestFit="1" customWidth="1"/>
    <col min="3" max="3" width="16.5703125" style="65" customWidth="1"/>
    <col min="4" max="4" width="7.140625" bestFit="1" customWidth="1"/>
    <col min="5" max="5" width="69.42578125" bestFit="1" customWidth="1"/>
  </cols>
  <sheetData>
    <row r="2" spans="1:5" x14ac:dyDescent="0.25">
      <c r="B2" s="61" t="s">
        <v>65</v>
      </c>
      <c r="C2" s="63"/>
      <c r="E2" s="61" t="s">
        <v>67</v>
      </c>
    </row>
    <row r="4" spans="1:5" x14ac:dyDescent="0.25">
      <c r="B4" s="60" t="s">
        <v>6</v>
      </c>
      <c r="C4" s="64"/>
    </row>
    <row r="5" spans="1:5" s="65" customFormat="1" x14ac:dyDescent="0.25">
      <c r="B5" s="64"/>
      <c r="C5" s="64"/>
      <c r="D5" s="63"/>
    </row>
    <row r="6" spans="1:5" s="65" customFormat="1" x14ac:dyDescent="0.25">
      <c r="A6" s="66" t="s">
        <v>68</v>
      </c>
      <c r="B6" s="67" t="s">
        <v>69</v>
      </c>
      <c r="C6" s="64"/>
      <c r="D6" s="66" t="s">
        <v>68</v>
      </c>
      <c r="E6" s="67" t="s">
        <v>69</v>
      </c>
    </row>
    <row r="7" spans="1:5" x14ac:dyDescent="0.25">
      <c r="A7" s="62">
        <v>1</v>
      </c>
      <c r="B7" t="s">
        <v>7</v>
      </c>
      <c r="D7" s="62">
        <v>1</v>
      </c>
      <c r="E7" t="s">
        <v>42</v>
      </c>
    </row>
    <row r="8" spans="1:5" x14ac:dyDescent="0.25">
      <c r="A8" s="62">
        <v>2</v>
      </c>
      <c r="B8" t="s">
        <v>8</v>
      </c>
      <c r="D8" s="62">
        <v>2</v>
      </c>
      <c r="E8" t="s">
        <v>44</v>
      </c>
    </row>
    <row r="9" spans="1:5" x14ac:dyDescent="0.25">
      <c r="A9" s="62">
        <v>3</v>
      </c>
      <c r="B9" t="s">
        <v>9</v>
      </c>
      <c r="D9" s="62">
        <v>3</v>
      </c>
      <c r="E9" t="s">
        <v>46</v>
      </c>
    </row>
    <row r="10" spans="1:5" x14ac:dyDescent="0.25">
      <c r="A10" s="62">
        <v>4</v>
      </c>
      <c r="B10" t="s">
        <v>11</v>
      </c>
      <c r="D10" s="62">
        <v>4</v>
      </c>
      <c r="E10" t="s">
        <v>48</v>
      </c>
    </row>
    <row r="11" spans="1:5" x14ac:dyDescent="0.25">
      <c r="A11" s="62">
        <v>5</v>
      </c>
      <c r="B11" t="s">
        <v>12</v>
      </c>
      <c r="D11" s="62">
        <v>5</v>
      </c>
      <c r="E11" t="s">
        <v>51</v>
      </c>
    </row>
    <row r="12" spans="1:5" x14ac:dyDescent="0.25">
      <c r="A12" s="62">
        <v>6</v>
      </c>
      <c r="B12" t="s">
        <v>13</v>
      </c>
      <c r="D12" s="62">
        <v>6</v>
      </c>
      <c r="E12" t="s">
        <v>53</v>
      </c>
    </row>
    <row r="13" spans="1:5" x14ac:dyDescent="0.25">
      <c r="A13" s="62">
        <v>7</v>
      </c>
      <c r="B13" t="s">
        <v>14</v>
      </c>
      <c r="D13" s="62">
        <v>7</v>
      </c>
      <c r="E13" t="s">
        <v>55</v>
      </c>
    </row>
    <row r="14" spans="1:5" x14ac:dyDescent="0.25">
      <c r="A14" s="62">
        <v>8</v>
      </c>
      <c r="B14" t="s">
        <v>15</v>
      </c>
      <c r="D14" s="62"/>
    </row>
    <row r="15" spans="1:5" x14ac:dyDescent="0.25">
      <c r="A15" s="62">
        <v>9</v>
      </c>
      <c r="B15" t="s">
        <v>16</v>
      </c>
    </row>
    <row r="16" spans="1:5" x14ac:dyDescent="0.25">
      <c r="A16" s="62">
        <v>10</v>
      </c>
      <c r="B16" t="s">
        <v>19</v>
      </c>
    </row>
    <row r="17" spans="1:3" x14ac:dyDescent="0.25">
      <c r="A17" s="62">
        <v>11</v>
      </c>
      <c r="B17" t="s">
        <v>20</v>
      </c>
    </row>
    <row r="18" spans="1:3" x14ac:dyDescent="0.25">
      <c r="A18" s="62">
        <v>12</v>
      </c>
      <c r="B18" t="s">
        <v>21</v>
      </c>
    </row>
    <row r="20" spans="1:3" x14ac:dyDescent="0.25">
      <c r="B20" s="60" t="s">
        <v>66</v>
      </c>
      <c r="C20" s="64"/>
    </row>
    <row r="21" spans="1:3" s="65" customFormat="1" x14ac:dyDescent="0.25">
      <c r="A21" s="63"/>
      <c r="B21" s="64"/>
      <c r="C21" s="64"/>
    </row>
    <row r="22" spans="1:3" s="65" customFormat="1" x14ac:dyDescent="0.25">
      <c r="A22" s="66" t="s">
        <v>68</v>
      </c>
      <c r="B22" s="67" t="s">
        <v>69</v>
      </c>
      <c r="C22" s="64"/>
    </row>
    <row r="23" spans="1:3" x14ac:dyDescent="0.25">
      <c r="A23" s="62">
        <v>1</v>
      </c>
      <c r="B23" t="s">
        <v>26</v>
      </c>
    </row>
    <row r="24" spans="1:3" x14ac:dyDescent="0.25">
      <c r="A24" s="62">
        <v>2</v>
      </c>
      <c r="B24" t="s">
        <v>27</v>
      </c>
    </row>
    <row r="25" spans="1:3" x14ac:dyDescent="0.25">
      <c r="A25" s="62">
        <v>3</v>
      </c>
      <c r="B25" t="s">
        <v>29</v>
      </c>
    </row>
    <row r="26" spans="1:3" x14ac:dyDescent="0.25">
      <c r="A26" s="62">
        <v>4</v>
      </c>
      <c r="B26" t="s">
        <v>30</v>
      </c>
    </row>
    <row r="27" spans="1:3" x14ac:dyDescent="0.25">
      <c r="A27" s="62">
        <v>5</v>
      </c>
      <c r="B27" t="s">
        <v>31</v>
      </c>
    </row>
    <row r="28" spans="1:3" x14ac:dyDescent="0.25">
      <c r="A28" s="62">
        <v>6</v>
      </c>
      <c r="B28" t="s">
        <v>32</v>
      </c>
    </row>
    <row r="29" spans="1:3" x14ac:dyDescent="0.25">
      <c r="A29" s="62">
        <v>7</v>
      </c>
      <c r="B29" t="s">
        <v>34</v>
      </c>
    </row>
    <row r="30" spans="1:3" x14ac:dyDescent="0.25">
      <c r="A30" s="62">
        <v>8</v>
      </c>
      <c r="B30" t="s">
        <v>35</v>
      </c>
    </row>
    <row r="31" spans="1:3" x14ac:dyDescent="0.25">
      <c r="A31" s="62">
        <v>9</v>
      </c>
      <c r="B31" t="s">
        <v>39</v>
      </c>
    </row>
    <row r="32" spans="1:3" x14ac:dyDescent="0.25">
      <c r="A32" s="62"/>
    </row>
    <row r="33" spans="1:1" x14ac:dyDescent="0.25">
      <c r="A33" s="62"/>
    </row>
    <row r="34" spans="1:1" x14ac:dyDescent="0.25">
      <c r="A34" s="62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3"/>
  <sheetViews>
    <sheetView view="pageBreakPreview" zoomScale="90" zoomScaleNormal="85" zoomScaleSheetLayoutView="90" workbookViewId="0">
      <selection activeCell="C6" sqref="C6:C10"/>
    </sheetView>
  </sheetViews>
  <sheetFormatPr defaultRowHeight="15" x14ac:dyDescent="0.25"/>
  <cols>
    <col min="1" max="1" width="4.140625" customWidth="1"/>
    <col min="2" max="2" width="16.42578125" style="77" customWidth="1"/>
    <col min="3" max="3" width="35.28515625" style="76" customWidth="1"/>
    <col min="4" max="4" width="10.7109375" bestFit="1" customWidth="1"/>
    <col min="6" max="6" width="11.140625" bestFit="1" customWidth="1"/>
    <col min="7" max="7" width="10.140625" bestFit="1" customWidth="1"/>
    <col min="9" max="9" width="10.140625" bestFit="1" customWidth="1"/>
    <col min="10" max="10" width="11.140625" bestFit="1" customWidth="1"/>
    <col min="12" max="12" width="10.7109375" bestFit="1" customWidth="1"/>
    <col min="13" max="13" width="47.140625" style="77" customWidth="1"/>
  </cols>
  <sheetData>
    <row r="2" spans="1:13" ht="15.75" x14ac:dyDescent="0.25">
      <c r="A2" s="111" t="s">
        <v>80</v>
      </c>
      <c r="B2" s="110"/>
    </row>
    <row r="3" spans="1:13" x14ac:dyDescent="0.25">
      <c r="D3" s="313" t="s">
        <v>75</v>
      </c>
      <c r="E3" s="313"/>
      <c r="F3" s="313"/>
      <c r="G3" s="313"/>
      <c r="H3" s="313"/>
      <c r="I3" s="313"/>
      <c r="J3" s="313"/>
      <c r="K3" s="313"/>
      <c r="L3" s="313"/>
    </row>
    <row r="4" spans="1:13" ht="45" x14ac:dyDescent="0.25">
      <c r="D4" s="68" t="s">
        <v>74</v>
      </c>
      <c r="E4" s="68" t="s">
        <v>73</v>
      </c>
      <c r="F4" s="68" t="s">
        <v>72</v>
      </c>
      <c r="G4" s="68" t="s">
        <v>71</v>
      </c>
      <c r="H4" s="69" t="s">
        <v>70</v>
      </c>
      <c r="I4" s="68" t="str">
        <f>G4</f>
        <v>Slightly favors</v>
      </c>
      <c r="J4" s="68" t="str">
        <f>F4</f>
        <v>Strongly favors</v>
      </c>
      <c r="K4" s="68" t="str">
        <f>E4</f>
        <v>Very strong favor</v>
      </c>
      <c r="L4" s="68" t="str">
        <f>D4</f>
        <v>Extreme favors</v>
      </c>
    </row>
    <row r="5" spans="1:13" ht="18.75" x14ac:dyDescent="0.25">
      <c r="A5" s="108" t="s">
        <v>67</v>
      </c>
      <c r="B5" s="96"/>
      <c r="D5" s="70">
        <v>9</v>
      </c>
      <c r="E5" s="70">
        <v>7</v>
      </c>
      <c r="F5" s="70">
        <v>5</v>
      </c>
      <c r="G5" s="70">
        <v>3</v>
      </c>
      <c r="H5" s="72">
        <v>1</v>
      </c>
      <c r="I5" s="70">
        <v>3</v>
      </c>
      <c r="J5" s="70">
        <v>5</v>
      </c>
      <c r="K5" s="70">
        <v>7</v>
      </c>
      <c r="L5" s="70">
        <v>9</v>
      </c>
    </row>
    <row r="6" spans="1:13" s="79" customFormat="1" x14ac:dyDescent="0.25">
      <c r="A6" s="78">
        <v>1</v>
      </c>
      <c r="B6" s="97" t="s">
        <v>42</v>
      </c>
      <c r="C6" s="80" t="s">
        <v>42</v>
      </c>
      <c r="D6" s="81"/>
      <c r="E6" s="81"/>
      <c r="F6" s="81"/>
      <c r="G6" s="81"/>
      <c r="H6" s="81"/>
      <c r="I6" s="82"/>
      <c r="J6" s="81">
        <f>1/5</f>
        <v>0.2</v>
      </c>
      <c r="K6" s="81"/>
      <c r="L6" s="81"/>
      <c r="M6" s="83" t="s">
        <v>44</v>
      </c>
    </row>
    <row r="7" spans="1:13" s="79" customFormat="1" x14ac:dyDescent="0.25">
      <c r="A7" s="78">
        <v>2</v>
      </c>
      <c r="B7" s="97" t="s">
        <v>44</v>
      </c>
      <c r="C7" s="84" t="s">
        <v>42</v>
      </c>
      <c r="D7" s="85"/>
      <c r="E7" s="85"/>
      <c r="F7" s="85"/>
      <c r="G7" s="85">
        <v>3</v>
      </c>
      <c r="H7" s="85"/>
      <c r="I7" s="85"/>
      <c r="J7" s="86"/>
      <c r="K7" s="85"/>
      <c r="L7" s="85"/>
      <c r="M7" s="87" t="s">
        <v>46</v>
      </c>
    </row>
    <row r="8" spans="1:13" s="79" customFormat="1" x14ac:dyDescent="0.25">
      <c r="A8" s="78">
        <v>3</v>
      </c>
      <c r="B8" s="97" t="s">
        <v>46</v>
      </c>
      <c r="C8" s="84" t="s">
        <v>42</v>
      </c>
      <c r="D8" s="85"/>
      <c r="E8" s="85"/>
      <c r="F8" s="85"/>
      <c r="G8" s="85">
        <v>3</v>
      </c>
      <c r="H8" s="85"/>
      <c r="I8" s="85"/>
      <c r="J8" s="86"/>
      <c r="K8" s="85"/>
      <c r="L8" s="85"/>
      <c r="M8" s="87" t="s">
        <v>48</v>
      </c>
    </row>
    <row r="9" spans="1:13" s="79" customFormat="1" x14ac:dyDescent="0.25">
      <c r="A9" s="78">
        <v>4</v>
      </c>
      <c r="B9" s="97" t="s">
        <v>48</v>
      </c>
      <c r="C9" s="84" t="s">
        <v>42</v>
      </c>
      <c r="D9" s="85"/>
      <c r="E9" s="85"/>
      <c r="F9" s="85"/>
      <c r="G9" s="85"/>
      <c r="H9" s="85"/>
      <c r="I9" s="85"/>
      <c r="J9" s="85">
        <f>1/5</f>
        <v>0.2</v>
      </c>
      <c r="K9" s="86"/>
      <c r="L9" s="85"/>
      <c r="M9" s="87" t="s">
        <v>51</v>
      </c>
    </row>
    <row r="10" spans="1:13" s="79" customFormat="1" x14ac:dyDescent="0.25">
      <c r="A10" s="78">
        <v>5</v>
      </c>
      <c r="B10" s="97" t="s">
        <v>51</v>
      </c>
      <c r="C10" s="84" t="s">
        <v>42</v>
      </c>
      <c r="D10" s="85"/>
      <c r="E10" s="85"/>
      <c r="F10" s="85"/>
      <c r="G10" s="85">
        <v>3</v>
      </c>
      <c r="H10" s="85"/>
      <c r="I10" s="85"/>
      <c r="J10" s="85"/>
      <c r="K10" s="85"/>
      <c r="L10" s="85"/>
      <c r="M10" s="87" t="s">
        <v>53</v>
      </c>
    </row>
    <row r="11" spans="1:13" s="79" customFormat="1" ht="30" x14ac:dyDescent="0.25">
      <c r="A11" s="78">
        <v>6</v>
      </c>
      <c r="B11" s="97" t="s">
        <v>53</v>
      </c>
      <c r="C11" s="84" t="s">
        <v>42</v>
      </c>
      <c r="D11" s="85"/>
      <c r="E11" s="85"/>
      <c r="F11" s="85"/>
      <c r="G11" s="85">
        <v>3</v>
      </c>
      <c r="H11" s="85"/>
      <c r="I11" s="85"/>
      <c r="J11" s="85"/>
      <c r="K11" s="85"/>
      <c r="L11" s="86"/>
      <c r="M11" s="87" t="s">
        <v>55</v>
      </c>
    </row>
    <row r="12" spans="1:13" s="79" customFormat="1" ht="30" customHeight="1" x14ac:dyDescent="0.25">
      <c r="A12" s="78">
        <v>7</v>
      </c>
      <c r="B12" s="97" t="s">
        <v>55</v>
      </c>
      <c r="C12" s="88"/>
      <c r="D12" s="89"/>
      <c r="E12" s="89"/>
      <c r="F12" s="89"/>
      <c r="G12" s="89"/>
      <c r="H12" s="89"/>
      <c r="I12" s="89"/>
      <c r="J12" s="89"/>
      <c r="K12" s="89"/>
      <c r="L12" s="89"/>
      <c r="M12" s="90"/>
    </row>
    <row r="13" spans="1:13" s="79" customFormat="1" x14ac:dyDescent="0.25">
      <c r="B13" s="97"/>
      <c r="C13" s="91" t="s">
        <v>44</v>
      </c>
      <c r="D13" s="85"/>
      <c r="E13" s="85"/>
      <c r="F13" s="85">
        <v>5</v>
      </c>
      <c r="G13" s="85"/>
      <c r="H13" s="85"/>
      <c r="I13" s="85"/>
      <c r="J13" s="85"/>
      <c r="K13" s="85"/>
      <c r="L13" s="85"/>
      <c r="M13" s="87" t="s">
        <v>42</v>
      </c>
    </row>
    <row r="14" spans="1:13" s="79" customFormat="1" x14ac:dyDescent="0.25">
      <c r="B14" s="97"/>
      <c r="C14" s="91" t="s">
        <v>44</v>
      </c>
      <c r="D14" s="85"/>
      <c r="E14" s="85"/>
      <c r="F14" s="85">
        <v>5</v>
      </c>
      <c r="G14" s="85"/>
      <c r="H14" s="85"/>
      <c r="I14" s="85"/>
      <c r="J14" s="85"/>
      <c r="K14" s="85"/>
      <c r="L14" s="85"/>
      <c r="M14" s="87" t="s">
        <v>46</v>
      </c>
    </row>
    <row r="15" spans="1:13" s="79" customFormat="1" x14ac:dyDescent="0.25">
      <c r="B15" s="97"/>
      <c r="C15" s="91" t="s">
        <v>44</v>
      </c>
      <c r="D15" s="85"/>
      <c r="E15" s="85"/>
      <c r="F15" s="85">
        <v>5</v>
      </c>
      <c r="G15" s="85"/>
      <c r="H15" s="85"/>
      <c r="I15" s="92"/>
      <c r="J15" s="85"/>
      <c r="K15" s="85"/>
      <c r="L15" s="85"/>
      <c r="M15" s="87" t="s">
        <v>48</v>
      </c>
    </row>
    <row r="16" spans="1:13" s="79" customFormat="1" x14ac:dyDescent="0.25">
      <c r="B16" s="97"/>
      <c r="C16" s="91" t="s">
        <v>44</v>
      </c>
      <c r="D16" s="85"/>
      <c r="E16" s="85"/>
      <c r="F16" s="85"/>
      <c r="G16" s="85"/>
      <c r="H16" s="85">
        <v>1</v>
      </c>
      <c r="I16" s="85"/>
      <c r="J16" s="85"/>
      <c r="K16" s="85"/>
      <c r="L16" s="85"/>
      <c r="M16" s="87" t="s">
        <v>51</v>
      </c>
    </row>
    <row r="17" spans="2:13" s="79" customFormat="1" x14ac:dyDescent="0.25">
      <c r="B17" s="97"/>
      <c r="C17" s="91" t="s">
        <v>44</v>
      </c>
      <c r="D17" s="85"/>
      <c r="E17" s="85"/>
      <c r="F17" s="85">
        <v>5</v>
      </c>
      <c r="G17" s="85"/>
      <c r="H17" s="85"/>
      <c r="I17" s="92"/>
      <c r="J17" s="85"/>
      <c r="K17" s="85"/>
      <c r="L17" s="85"/>
      <c r="M17" s="87" t="s">
        <v>53</v>
      </c>
    </row>
    <row r="18" spans="2:13" s="79" customFormat="1" ht="30" x14ac:dyDescent="0.25">
      <c r="B18" s="97"/>
      <c r="C18" s="91" t="s">
        <v>44</v>
      </c>
      <c r="D18" s="85"/>
      <c r="E18" s="85"/>
      <c r="F18" s="85">
        <v>5</v>
      </c>
      <c r="G18" s="85"/>
      <c r="H18" s="85"/>
      <c r="I18" s="85"/>
      <c r="J18" s="86"/>
      <c r="K18" s="85"/>
      <c r="L18" s="85"/>
      <c r="M18" s="87" t="s">
        <v>55</v>
      </c>
    </row>
    <row r="19" spans="2:13" s="79" customFormat="1" x14ac:dyDescent="0.25">
      <c r="B19" s="97"/>
      <c r="C19" s="88"/>
      <c r="D19" s="89"/>
      <c r="E19" s="89"/>
      <c r="F19" s="89"/>
      <c r="G19" s="89"/>
      <c r="H19" s="89"/>
      <c r="I19" s="89"/>
      <c r="J19" s="89"/>
      <c r="K19" s="89"/>
      <c r="L19" s="89"/>
      <c r="M19" s="90"/>
    </row>
    <row r="20" spans="2:13" s="79" customFormat="1" ht="30" x14ac:dyDescent="0.25">
      <c r="B20" s="97"/>
      <c r="C20" s="91" t="s">
        <v>46</v>
      </c>
      <c r="D20" s="85"/>
      <c r="E20" s="85"/>
      <c r="F20" s="85"/>
      <c r="G20" s="85"/>
      <c r="H20" s="85"/>
      <c r="I20" s="85">
        <f>1/3</f>
        <v>0.33333333333333331</v>
      </c>
      <c r="J20" s="85"/>
      <c r="K20" s="85"/>
      <c r="L20" s="85"/>
      <c r="M20" s="87" t="s">
        <v>42</v>
      </c>
    </row>
    <row r="21" spans="2:13" s="79" customFormat="1" ht="30" x14ac:dyDescent="0.25">
      <c r="B21" s="97"/>
      <c r="C21" s="91" t="s">
        <v>46</v>
      </c>
      <c r="D21" s="85"/>
      <c r="E21" s="85"/>
      <c r="F21" s="85"/>
      <c r="G21" s="85"/>
      <c r="H21" s="85"/>
      <c r="I21" s="92"/>
      <c r="J21" s="85">
        <f>1/5</f>
        <v>0.2</v>
      </c>
      <c r="K21" s="85"/>
      <c r="L21" s="85"/>
      <c r="M21" s="87" t="s">
        <v>44</v>
      </c>
    </row>
    <row r="22" spans="2:13" s="79" customFormat="1" ht="30" x14ac:dyDescent="0.25">
      <c r="B22" s="97"/>
      <c r="C22" s="91" t="s">
        <v>46</v>
      </c>
      <c r="D22" s="85"/>
      <c r="E22" s="85"/>
      <c r="F22" s="85"/>
      <c r="G22" s="85"/>
      <c r="H22" s="85"/>
      <c r="I22" s="85"/>
      <c r="J22" s="85">
        <f>1/5</f>
        <v>0.2</v>
      </c>
      <c r="K22" s="85"/>
      <c r="L22" s="85"/>
      <c r="M22" s="87" t="s">
        <v>48</v>
      </c>
    </row>
    <row r="23" spans="2:13" s="79" customFormat="1" ht="30" x14ac:dyDescent="0.25">
      <c r="B23" s="97"/>
      <c r="C23" s="91" t="s">
        <v>46</v>
      </c>
      <c r="D23" s="85"/>
      <c r="E23" s="85"/>
      <c r="F23" s="85"/>
      <c r="G23" s="85"/>
      <c r="H23" s="85"/>
      <c r="I23" s="85"/>
      <c r="J23" s="85">
        <f>1/5</f>
        <v>0.2</v>
      </c>
      <c r="K23" s="85"/>
      <c r="L23" s="85"/>
      <c r="M23" s="87" t="s">
        <v>51</v>
      </c>
    </row>
    <row r="24" spans="2:13" s="79" customFormat="1" ht="30" x14ac:dyDescent="0.25">
      <c r="B24" s="97"/>
      <c r="C24" s="91" t="s">
        <v>46</v>
      </c>
      <c r="D24" s="85"/>
      <c r="E24" s="85"/>
      <c r="F24" s="85"/>
      <c r="G24" s="85"/>
      <c r="H24" s="85"/>
      <c r="I24" s="85">
        <f>1/3</f>
        <v>0.33333333333333331</v>
      </c>
      <c r="J24" s="85"/>
      <c r="K24" s="85"/>
      <c r="L24" s="85"/>
      <c r="M24" s="87" t="s">
        <v>53</v>
      </c>
    </row>
    <row r="25" spans="2:13" s="79" customFormat="1" ht="30" x14ac:dyDescent="0.25">
      <c r="B25" s="97"/>
      <c r="C25" s="91" t="s">
        <v>46</v>
      </c>
      <c r="D25" s="85"/>
      <c r="E25" s="85"/>
      <c r="F25" s="85"/>
      <c r="G25" s="85"/>
      <c r="H25" s="85"/>
      <c r="I25" s="85">
        <f>1/3</f>
        <v>0.33333333333333331</v>
      </c>
      <c r="J25" s="85"/>
      <c r="K25" s="85"/>
      <c r="L25" s="85"/>
      <c r="M25" s="87" t="s">
        <v>55</v>
      </c>
    </row>
    <row r="26" spans="2:13" s="79" customFormat="1" x14ac:dyDescent="0.25">
      <c r="B26" s="97"/>
      <c r="C26" s="88"/>
      <c r="D26" s="89"/>
      <c r="E26" s="89"/>
      <c r="F26" s="89"/>
      <c r="G26" s="89"/>
      <c r="H26" s="89"/>
      <c r="I26" s="89"/>
      <c r="J26" s="89"/>
      <c r="K26" s="89"/>
      <c r="L26" s="89"/>
      <c r="M26" s="90"/>
    </row>
    <row r="27" spans="2:13" s="79" customFormat="1" ht="30" x14ac:dyDescent="0.25">
      <c r="B27" s="97"/>
      <c r="C27" s="91" t="s">
        <v>48</v>
      </c>
      <c r="D27" s="85"/>
      <c r="E27" s="85"/>
      <c r="F27" s="85"/>
      <c r="G27" s="85"/>
      <c r="H27" s="85"/>
      <c r="I27" s="85"/>
      <c r="J27" s="85">
        <f>1/5</f>
        <v>0.2</v>
      </c>
      <c r="K27" s="85"/>
      <c r="L27" s="85"/>
      <c r="M27" s="87" t="s">
        <v>42</v>
      </c>
    </row>
    <row r="28" spans="2:13" s="79" customFormat="1" ht="30" x14ac:dyDescent="0.25">
      <c r="B28" s="97"/>
      <c r="C28" s="91" t="s">
        <v>48</v>
      </c>
      <c r="D28" s="85"/>
      <c r="E28" s="85"/>
      <c r="F28" s="85"/>
      <c r="G28" s="85"/>
      <c r="H28" s="85"/>
      <c r="I28" s="86"/>
      <c r="J28" s="85">
        <f>1/5</f>
        <v>0.2</v>
      </c>
      <c r="K28" s="85"/>
      <c r="L28" s="85"/>
      <c r="M28" s="87" t="s">
        <v>44</v>
      </c>
    </row>
    <row r="29" spans="2:13" s="79" customFormat="1" ht="30" x14ac:dyDescent="0.25">
      <c r="B29" s="97"/>
      <c r="C29" s="91" t="s">
        <v>48</v>
      </c>
      <c r="D29" s="85"/>
      <c r="E29" s="85"/>
      <c r="F29" s="85">
        <v>5</v>
      </c>
      <c r="G29" s="85"/>
      <c r="H29" s="85"/>
      <c r="I29" s="86"/>
      <c r="J29" s="85"/>
      <c r="K29" s="85"/>
      <c r="L29" s="85"/>
      <c r="M29" s="87" t="s">
        <v>46</v>
      </c>
    </row>
    <row r="30" spans="2:13" s="79" customFormat="1" ht="30" x14ac:dyDescent="0.25">
      <c r="B30" s="97"/>
      <c r="C30" s="91" t="s">
        <v>48</v>
      </c>
      <c r="D30" s="85"/>
      <c r="E30" s="85"/>
      <c r="F30" s="85"/>
      <c r="G30" s="85"/>
      <c r="H30" s="85"/>
      <c r="I30" s="85"/>
      <c r="J30" s="85">
        <f>1/5</f>
        <v>0.2</v>
      </c>
      <c r="K30" s="85"/>
      <c r="L30" s="85"/>
      <c r="M30" s="87" t="s">
        <v>51</v>
      </c>
    </row>
    <row r="31" spans="2:13" s="79" customFormat="1" ht="30" x14ac:dyDescent="0.25">
      <c r="B31" s="97"/>
      <c r="C31" s="91" t="s">
        <v>48</v>
      </c>
      <c r="D31" s="85"/>
      <c r="E31" s="85"/>
      <c r="F31" s="85"/>
      <c r="G31" s="85"/>
      <c r="H31" s="85"/>
      <c r="I31" s="85">
        <f t="shared" ref="I31:I32" si="0">1/3</f>
        <v>0.33333333333333331</v>
      </c>
      <c r="J31" s="85"/>
      <c r="K31" s="85"/>
      <c r="L31" s="85"/>
      <c r="M31" s="87" t="s">
        <v>53</v>
      </c>
    </row>
    <row r="32" spans="2:13" s="79" customFormat="1" ht="30" x14ac:dyDescent="0.25">
      <c r="B32" s="97"/>
      <c r="C32" s="91" t="s">
        <v>48</v>
      </c>
      <c r="D32" s="85"/>
      <c r="E32" s="85"/>
      <c r="F32" s="85"/>
      <c r="G32" s="85"/>
      <c r="H32" s="85"/>
      <c r="I32" s="85">
        <f t="shared" si="0"/>
        <v>0.33333333333333331</v>
      </c>
      <c r="J32" s="85"/>
      <c r="K32" s="85"/>
      <c r="L32" s="85"/>
      <c r="M32" s="87" t="s">
        <v>55</v>
      </c>
    </row>
    <row r="33" spans="2:13" s="79" customFormat="1" x14ac:dyDescent="0.25">
      <c r="B33" s="97"/>
      <c r="C33" s="88"/>
      <c r="D33" s="89"/>
      <c r="E33" s="89"/>
      <c r="F33" s="89"/>
      <c r="G33" s="89"/>
      <c r="H33" s="89"/>
      <c r="I33" s="89"/>
      <c r="J33" s="89"/>
      <c r="K33" s="89"/>
      <c r="L33" s="89"/>
      <c r="M33" s="90"/>
    </row>
    <row r="34" spans="2:13" s="79" customFormat="1" ht="30" x14ac:dyDescent="0.25">
      <c r="B34" s="97"/>
      <c r="C34" s="91" t="s">
        <v>51</v>
      </c>
      <c r="D34" s="85"/>
      <c r="E34" s="85"/>
      <c r="F34" s="85">
        <v>5</v>
      </c>
      <c r="G34" s="85"/>
      <c r="H34" s="85"/>
      <c r="I34" s="85"/>
      <c r="J34" s="85"/>
      <c r="K34" s="85"/>
      <c r="L34" s="85"/>
      <c r="M34" s="87" t="s">
        <v>42</v>
      </c>
    </row>
    <row r="35" spans="2:13" s="79" customFormat="1" ht="30" x14ac:dyDescent="0.25">
      <c r="B35" s="97"/>
      <c r="C35" s="91" t="s">
        <v>51</v>
      </c>
      <c r="D35" s="85"/>
      <c r="E35" s="85"/>
      <c r="F35" s="85"/>
      <c r="G35" s="85"/>
      <c r="H35" s="85">
        <v>1</v>
      </c>
      <c r="I35" s="85"/>
      <c r="J35" s="85"/>
      <c r="K35" s="85"/>
      <c r="L35" s="85"/>
      <c r="M35" s="87" t="s">
        <v>44</v>
      </c>
    </row>
    <row r="36" spans="2:13" s="79" customFormat="1" ht="30" x14ac:dyDescent="0.25">
      <c r="B36" s="97"/>
      <c r="C36" s="91" t="s">
        <v>51</v>
      </c>
      <c r="D36" s="85"/>
      <c r="E36" s="85"/>
      <c r="F36" s="85">
        <v>5</v>
      </c>
      <c r="G36" s="85"/>
      <c r="H36" s="85"/>
      <c r="I36" s="86"/>
      <c r="J36" s="85"/>
      <c r="K36" s="85"/>
      <c r="L36" s="85"/>
      <c r="M36" s="87" t="s">
        <v>46</v>
      </c>
    </row>
    <row r="37" spans="2:13" s="79" customFormat="1" ht="30" x14ac:dyDescent="0.25">
      <c r="B37" s="97"/>
      <c r="C37" s="91" t="s">
        <v>51</v>
      </c>
      <c r="D37" s="85"/>
      <c r="E37" s="85"/>
      <c r="F37" s="85">
        <v>5</v>
      </c>
      <c r="G37" s="85"/>
      <c r="H37" s="85"/>
      <c r="I37" s="85"/>
      <c r="J37" s="86"/>
      <c r="K37" s="85"/>
      <c r="L37" s="85"/>
      <c r="M37" s="87" t="s">
        <v>48</v>
      </c>
    </row>
    <row r="38" spans="2:13" s="79" customFormat="1" ht="30" x14ac:dyDescent="0.25">
      <c r="B38" s="97"/>
      <c r="C38" s="91" t="s">
        <v>51</v>
      </c>
      <c r="D38" s="85"/>
      <c r="E38" s="85"/>
      <c r="F38" s="85"/>
      <c r="G38" s="85">
        <v>3</v>
      </c>
      <c r="H38" s="85"/>
      <c r="I38" s="85"/>
      <c r="J38" s="85"/>
      <c r="K38" s="85"/>
      <c r="L38" s="85"/>
      <c r="M38" s="87" t="s">
        <v>53</v>
      </c>
    </row>
    <row r="39" spans="2:13" s="79" customFormat="1" ht="30" x14ac:dyDescent="0.25">
      <c r="B39" s="97"/>
      <c r="C39" s="91" t="s">
        <v>51</v>
      </c>
      <c r="D39" s="85"/>
      <c r="E39" s="85"/>
      <c r="F39" s="85"/>
      <c r="G39" s="85">
        <v>3</v>
      </c>
      <c r="H39" s="85"/>
      <c r="I39" s="85"/>
      <c r="J39" s="86"/>
      <c r="K39" s="85"/>
      <c r="L39" s="85"/>
      <c r="M39" s="87" t="s">
        <v>55</v>
      </c>
    </row>
    <row r="40" spans="2:13" s="79" customFormat="1" x14ac:dyDescent="0.25">
      <c r="B40" s="97"/>
      <c r="C40" s="88"/>
      <c r="D40" s="89"/>
      <c r="E40" s="89"/>
      <c r="F40" s="89"/>
      <c r="G40" s="89"/>
      <c r="H40" s="89"/>
      <c r="I40" s="89"/>
      <c r="J40" s="89"/>
      <c r="K40" s="89"/>
      <c r="L40" s="89"/>
      <c r="M40" s="90"/>
    </row>
    <row r="41" spans="2:13" s="79" customFormat="1" x14ac:dyDescent="0.25">
      <c r="B41" s="97"/>
      <c r="C41" s="91" t="s">
        <v>53</v>
      </c>
      <c r="D41" s="85"/>
      <c r="E41" s="85"/>
      <c r="F41" s="85"/>
      <c r="G41" s="85"/>
      <c r="H41" s="85"/>
      <c r="I41" s="85">
        <f t="shared" ref="I41" si="1">1/3</f>
        <v>0.33333333333333331</v>
      </c>
      <c r="J41" s="85"/>
      <c r="K41" s="85"/>
      <c r="L41" s="85"/>
      <c r="M41" s="87" t="s">
        <v>42</v>
      </c>
    </row>
    <row r="42" spans="2:13" s="79" customFormat="1" x14ac:dyDescent="0.25">
      <c r="B42" s="97"/>
      <c r="C42" s="91" t="s">
        <v>53</v>
      </c>
      <c r="D42" s="85"/>
      <c r="E42" s="85"/>
      <c r="F42" s="85"/>
      <c r="G42" s="85"/>
      <c r="H42" s="85"/>
      <c r="I42" s="85"/>
      <c r="J42" s="85">
        <f>1/5</f>
        <v>0.2</v>
      </c>
      <c r="K42" s="85"/>
      <c r="L42" s="85"/>
      <c r="M42" s="87" t="s">
        <v>44</v>
      </c>
    </row>
    <row r="43" spans="2:13" s="79" customFormat="1" ht="30" x14ac:dyDescent="0.25">
      <c r="B43" s="97"/>
      <c r="C43" s="91" t="s">
        <v>53</v>
      </c>
      <c r="D43" s="85"/>
      <c r="E43" s="85"/>
      <c r="F43" s="85"/>
      <c r="G43" s="85">
        <v>3</v>
      </c>
      <c r="H43" s="85"/>
      <c r="I43" s="85"/>
      <c r="J43" s="86"/>
      <c r="K43" s="85"/>
      <c r="L43" s="85"/>
      <c r="M43" s="87" t="s">
        <v>46</v>
      </c>
    </row>
    <row r="44" spans="2:13" s="79" customFormat="1" ht="30" x14ac:dyDescent="0.25">
      <c r="B44" s="97"/>
      <c r="C44" s="91" t="s">
        <v>53</v>
      </c>
      <c r="D44" s="85"/>
      <c r="E44" s="85"/>
      <c r="F44" s="85"/>
      <c r="G44" s="85">
        <v>3</v>
      </c>
      <c r="H44" s="85"/>
      <c r="I44" s="85"/>
      <c r="J44" s="85"/>
      <c r="K44" s="86"/>
      <c r="L44" s="85"/>
      <c r="M44" s="87" t="s">
        <v>48</v>
      </c>
    </row>
    <row r="45" spans="2:13" s="79" customFormat="1" x14ac:dyDescent="0.25">
      <c r="B45" s="97"/>
      <c r="C45" s="91" t="s">
        <v>53</v>
      </c>
      <c r="D45" s="85"/>
      <c r="E45" s="85"/>
      <c r="F45" s="85"/>
      <c r="G45" s="85"/>
      <c r="H45" s="85"/>
      <c r="I45" s="85">
        <f t="shared" ref="I45" si="2">1/3</f>
        <v>0.33333333333333331</v>
      </c>
      <c r="J45" s="86"/>
      <c r="K45" s="85"/>
      <c r="L45" s="85"/>
      <c r="M45" s="87" t="s">
        <v>51</v>
      </c>
    </row>
    <row r="46" spans="2:13" s="79" customFormat="1" ht="30" x14ac:dyDescent="0.25">
      <c r="B46" s="97"/>
      <c r="C46" s="91" t="s">
        <v>53</v>
      </c>
      <c r="D46" s="85"/>
      <c r="E46" s="85"/>
      <c r="F46" s="85"/>
      <c r="G46" s="85">
        <v>3</v>
      </c>
      <c r="H46" s="85"/>
      <c r="I46" s="85"/>
      <c r="J46" s="86"/>
      <c r="K46" s="85"/>
      <c r="L46" s="85"/>
      <c r="M46" s="87" t="s">
        <v>55</v>
      </c>
    </row>
    <row r="47" spans="2:13" s="79" customFormat="1" x14ac:dyDescent="0.25">
      <c r="B47" s="97"/>
      <c r="C47" s="88"/>
      <c r="D47" s="89"/>
      <c r="E47" s="89"/>
      <c r="F47" s="89"/>
      <c r="G47" s="89"/>
      <c r="H47" s="89"/>
      <c r="I47" s="89"/>
      <c r="J47" s="89"/>
      <c r="K47" s="89"/>
      <c r="L47" s="89"/>
      <c r="M47" s="90"/>
    </row>
    <row r="48" spans="2:13" s="79" customFormat="1" ht="45" x14ac:dyDescent="0.25">
      <c r="B48" s="97"/>
      <c r="C48" s="91" t="s">
        <v>55</v>
      </c>
      <c r="D48" s="85"/>
      <c r="E48" s="85"/>
      <c r="F48" s="85"/>
      <c r="G48" s="85"/>
      <c r="H48" s="85"/>
      <c r="I48" s="85">
        <f t="shared" ref="I48" si="3">1/3</f>
        <v>0.33333333333333331</v>
      </c>
      <c r="J48" s="85"/>
      <c r="K48" s="85"/>
      <c r="L48" s="85"/>
      <c r="M48" s="87" t="s">
        <v>42</v>
      </c>
    </row>
    <row r="49" spans="2:13" s="79" customFormat="1" ht="45" x14ac:dyDescent="0.25">
      <c r="B49" s="97"/>
      <c r="C49" s="91" t="s">
        <v>55</v>
      </c>
      <c r="D49" s="85"/>
      <c r="E49" s="85"/>
      <c r="F49" s="85"/>
      <c r="G49" s="85"/>
      <c r="H49" s="85"/>
      <c r="I49" s="85"/>
      <c r="J49" s="85">
        <f>1/5</f>
        <v>0.2</v>
      </c>
      <c r="K49" s="85"/>
      <c r="L49" s="85"/>
      <c r="M49" s="87" t="s">
        <v>44</v>
      </c>
    </row>
    <row r="50" spans="2:13" s="79" customFormat="1" ht="45" x14ac:dyDescent="0.25">
      <c r="B50" s="97"/>
      <c r="C50" s="91" t="s">
        <v>55</v>
      </c>
      <c r="D50" s="85"/>
      <c r="E50" s="85"/>
      <c r="F50" s="85"/>
      <c r="G50" s="85">
        <v>3</v>
      </c>
      <c r="H50" s="85"/>
      <c r="I50" s="85"/>
      <c r="J50" s="85"/>
      <c r="K50" s="85"/>
      <c r="L50" s="85"/>
      <c r="M50" s="87" t="s">
        <v>46</v>
      </c>
    </row>
    <row r="51" spans="2:13" s="79" customFormat="1" ht="45" x14ac:dyDescent="0.25">
      <c r="B51" s="97"/>
      <c r="C51" s="91" t="s">
        <v>55</v>
      </c>
      <c r="D51" s="85"/>
      <c r="E51" s="85"/>
      <c r="F51" s="85"/>
      <c r="G51" s="85">
        <v>3</v>
      </c>
      <c r="H51" s="85"/>
      <c r="I51" s="85"/>
      <c r="J51" s="85"/>
      <c r="K51" s="85"/>
      <c r="L51" s="85"/>
      <c r="M51" s="87" t="s">
        <v>48</v>
      </c>
    </row>
    <row r="52" spans="2:13" s="79" customFormat="1" ht="45" x14ac:dyDescent="0.25">
      <c r="B52" s="97"/>
      <c r="C52" s="91" t="s">
        <v>55</v>
      </c>
      <c r="D52" s="85"/>
      <c r="E52" s="85"/>
      <c r="F52" s="85"/>
      <c r="G52" s="85"/>
      <c r="H52" s="85"/>
      <c r="I52" s="85">
        <f t="shared" ref="I52:I53" si="4">1/3</f>
        <v>0.33333333333333331</v>
      </c>
      <c r="J52" s="85"/>
      <c r="K52" s="85"/>
      <c r="L52" s="85"/>
      <c r="M52" s="87" t="s">
        <v>51</v>
      </c>
    </row>
    <row r="53" spans="2:13" s="79" customFormat="1" ht="45" x14ac:dyDescent="0.25">
      <c r="B53" s="97"/>
      <c r="C53" s="93" t="s">
        <v>55</v>
      </c>
      <c r="D53" s="94"/>
      <c r="E53" s="94"/>
      <c r="F53" s="94"/>
      <c r="G53" s="94"/>
      <c r="H53" s="94"/>
      <c r="I53" s="85">
        <f t="shared" si="4"/>
        <v>0.33333333333333331</v>
      </c>
      <c r="J53" s="94"/>
      <c r="K53" s="94"/>
      <c r="L53" s="94"/>
      <c r="M53" s="95" t="s">
        <v>53</v>
      </c>
    </row>
  </sheetData>
  <mergeCells count="1">
    <mergeCell ref="D3:L3"/>
  </mergeCells>
  <pageMargins left="0.7" right="0.7" top="0.75" bottom="0.75" header="0.3" footer="0.3"/>
  <pageSetup paperSize="9" scale="65" orientation="landscape" r:id="rId1"/>
  <rowBreaks count="1" manualBreakCount="1">
    <brk id="33" max="16383" man="1"/>
  </rowBreaks>
  <colBreaks count="1" manualBreakCount="1">
    <brk id="2" max="49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3"/>
  <sheetViews>
    <sheetView view="pageBreakPreview" zoomScale="55" zoomScaleNormal="85" zoomScaleSheetLayoutView="55" workbookViewId="0">
      <pane xSplit="12" ySplit="5" topLeftCell="M39" activePane="bottomRight" state="frozen"/>
      <selection pane="topRight" activeCell="D1" sqref="D1"/>
      <selection pane="bottomLeft" activeCell="A6" sqref="A6"/>
      <selection pane="bottomRight" activeCell="V50" sqref="V50:V51"/>
    </sheetView>
  </sheetViews>
  <sheetFormatPr defaultRowHeight="15" x14ac:dyDescent="0.25"/>
  <cols>
    <col min="1" max="1" width="28.85546875" customWidth="1"/>
    <col min="3" max="8" width="18.5703125" customWidth="1"/>
    <col min="9" max="9" width="5" customWidth="1"/>
    <col min="10" max="10" width="4.140625" customWidth="1"/>
    <col min="11" max="11" width="16.42578125" style="77" customWidth="1"/>
    <col min="12" max="12" width="35.28515625" style="76" customWidth="1"/>
    <col min="13" max="13" width="10.7109375" bestFit="1" customWidth="1"/>
    <col min="15" max="15" width="11.140625" bestFit="1" customWidth="1"/>
    <col min="16" max="16" width="10.140625" bestFit="1" customWidth="1"/>
    <col min="18" max="18" width="10.140625" bestFit="1" customWidth="1"/>
    <col min="19" max="19" width="11.140625" bestFit="1" customWidth="1"/>
    <col min="21" max="21" width="10.7109375" bestFit="1" customWidth="1"/>
    <col min="22" max="22" width="47.140625" style="77" customWidth="1"/>
  </cols>
  <sheetData>
    <row r="2" spans="1:22" ht="15.75" x14ac:dyDescent="0.25">
      <c r="J2" s="111" t="s">
        <v>80</v>
      </c>
      <c r="K2" s="110"/>
    </row>
    <row r="3" spans="1:22" ht="75" x14ac:dyDescent="0.25">
      <c r="A3" s="143" t="s">
        <v>79</v>
      </c>
      <c r="B3" s="97" t="s">
        <v>42</v>
      </c>
      <c r="C3" s="97" t="s">
        <v>44</v>
      </c>
      <c r="D3" s="97" t="s">
        <v>191</v>
      </c>
      <c r="E3" s="97" t="s">
        <v>192</v>
      </c>
      <c r="F3" s="97" t="s">
        <v>51</v>
      </c>
      <c r="G3" s="97" t="s">
        <v>53</v>
      </c>
      <c r="H3" s="97" t="s">
        <v>55</v>
      </c>
      <c r="M3" s="313" t="s">
        <v>75</v>
      </c>
      <c r="N3" s="313"/>
      <c r="O3" s="313"/>
      <c r="P3" s="313"/>
      <c r="Q3" s="313"/>
      <c r="R3" s="313"/>
      <c r="S3" s="313"/>
      <c r="T3" s="313"/>
      <c r="U3" s="313"/>
    </row>
    <row r="4" spans="1:22" ht="45" x14ac:dyDescent="0.25">
      <c r="A4" s="97" t="s">
        <v>42</v>
      </c>
      <c r="B4" s="119">
        <v>1</v>
      </c>
      <c r="C4">
        <f>S6</f>
        <v>0.2</v>
      </c>
      <c r="D4">
        <f>P7</f>
        <v>3</v>
      </c>
      <c r="E4">
        <f>P8</f>
        <v>3</v>
      </c>
      <c r="F4">
        <f>S9</f>
        <v>0.2</v>
      </c>
      <c r="G4">
        <f>P10</f>
        <v>3</v>
      </c>
      <c r="H4">
        <f>P11</f>
        <v>3</v>
      </c>
      <c r="M4" s="68" t="s">
        <v>74</v>
      </c>
      <c r="N4" s="68" t="s">
        <v>73</v>
      </c>
      <c r="O4" s="68" t="s">
        <v>72</v>
      </c>
      <c r="P4" s="68" t="s">
        <v>71</v>
      </c>
      <c r="Q4" s="69" t="s">
        <v>70</v>
      </c>
      <c r="R4" s="68" t="str">
        <f>P4</f>
        <v>Slightly favors</v>
      </c>
      <c r="S4" s="68" t="str">
        <f>O4</f>
        <v>Strongly favors</v>
      </c>
      <c r="T4" s="68" t="str">
        <f>N4</f>
        <v>Very strong favor</v>
      </c>
      <c r="U4" s="68" t="str">
        <f>M4</f>
        <v>Extreme favors</v>
      </c>
    </row>
    <row r="5" spans="1:22" ht="30" x14ac:dyDescent="0.25">
      <c r="A5" s="97" t="s">
        <v>44</v>
      </c>
      <c r="B5">
        <f>O13</f>
        <v>5</v>
      </c>
      <c r="C5" s="119">
        <v>1</v>
      </c>
      <c r="D5">
        <f>O14</f>
        <v>5</v>
      </c>
      <c r="E5">
        <f>O15</f>
        <v>5</v>
      </c>
      <c r="F5">
        <f>Q16</f>
        <v>1</v>
      </c>
      <c r="G5">
        <f>O17</f>
        <v>5</v>
      </c>
      <c r="H5">
        <f>O18</f>
        <v>5</v>
      </c>
      <c r="J5" s="108" t="s">
        <v>67</v>
      </c>
      <c r="K5" s="96"/>
      <c r="M5" s="70">
        <v>9</v>
      </c>
      <c r="N5" s="70">
        <v>7</v>
      </c>
      <c r="O5" s="70">
        <v>5</v>
      </c>
      <c r="P5" s="70">
        <v>3</v>
      </c>
      <c r="Q5" s="72">
        <v>1</v>
      </c>
      <c r="R5" s="70">
        <v>3</v>
      </c>
      <c r="S5" s="70">
        <v>5</v>
      </c>
      <c r="T5" s="70">
        <v>7</v>
      </c>
      <c r="U5" s="70">
        <v>9</v>
      </c>
    </row>
    <row r="6" spans="1:22" s="79" customFormat="1" ht="30" x14ac:dyDescent="0.25">
      <c r="A6" s="97" t="s">
        <v>191</v>
      </c>
      <c r="B6" s="79">
        <f>R20</f>
        <v>0.33333333333333331</v>
      </c>
      <c r="C6" s="79">
        <f>S21</f>
        <v>0.2</v>
      </c>
      <c r="D6" s="119">
        <v>1</v>
      </c>
      <c r="E6" s="79">
        <f>S22</f>
        <v>0.2</v>
      </c>
      <c r="F6" s="79">
        <f>S23</f>
        <v>0.2</v>
      </c>
      <c r="G6" s="79">
        <f>R24</f>
        <v>0.33333333333333331</v>
      </c>
      <c r="H6" s="79">
        <f>R25</f>
        <v>0.33333333333333331</v>
      </c>
      <c r="J6" s="78">
        <v>1</v>
      </c>
      <c r="K6" s="97" t="s">
        <v>42</v>
      </c>
      <c r="L6" s="80" t="s">
        <v>42</v>
      </c>
      <c r="M6" s="81"/>
      <c r="N6" s="81"/>
      <c r="O6" s="81"/>
      <c r="P6" s="81"/>
      <c r="Q6" s="81"/>
      <c r="R6" s="82"/>
      <c r="S6" s="81">
        <f>1/5</f>
        <v>0.2</v>
      </c>
      <c r="T6" s="81"/>
      <c r="U6" s="81"/>
      <c r="V6" s="83" t="s">
        <v>44</v>
      </c>
    </row>
    <row r="7" spans="1:22" s="79" customFormat="1" ht="30" x14ac:dyDescent="0.25">
      <c r="A7" s="97" t="s">
        <v>192</v>
      </c>
      <c r="B7" s="79">
        <f>S27</f>
        <v>0.2</v>
      </c>
      <c r="C7" s="79">
        <f>S28</f>
        <v>0.2</v>
      </c>
      <c r="D7" s="79">
        <f>O29</f>
        <v>5</v>
      </c>
      <c r="E7" s="119">
        <v>1</v>
      </c>
      <c r="F7" s="79">
        <f>S30</f>
        <v>0.2</v>
      </c>
      <c r="G7" s="79">
        <f>R31</f>
        <v>0.33333333333333331</v>
      </c>
      <c r="H7" s="79">
        <f>R32</f>
        <v>0.33333333333333331</v>
      </c>
      <c r="J7" s="78">
        <v>2</v>
      </c>
      <c r="K7" s="97" t="s">
        <v>44</v>
      </c>
      <c r="L7" s="84" t="s">
        <v>42</v>
      </c>
      <c r="M7" s="85"/>
      <c r="N7" s="85"/>
      <c r="O7" s="85"/>
      <c r="P7" s="85">
        <v>3</v>
      </c>
      <c r="Q7" s="85"/>
      <c r="R7" s="85"/>
      <c r="S7" s="86"/>
      <c r="T7" s="85"/>
      <c r="U7" s="85"/>
      <c r="V7" s="87" t="s">
        <v>46</v>
      </c>
    </row>
    <row r="8" spans="1:22" s="79" customFormat="1" ht="60" x14ac:dyDescent="0.25">
      <c r="A8" s="97" t="s">
        <v>51</v>
      </c>
      <c r="B8" s="79">
        <f>O34</f>
        <v>5</v>
      </c>
      <c r="C8" s="79">
        <f>Q35</f>
        <v>1</v>
      </c>
      <c r="D8" s="79">
        <f>O36</f>
        <v>5</v>
      </c>
      <c r="E8" s="79">
        <f>O37</f>
        <v>5</v>
      </c>
      <c r="F8" s="119">
        <v>1</v>
      </c>
      <c r="G8" s="79">
        <f>P38</f>
        <v>3</v>
      </c>
      <c r="H8" s="79">
        <f>P39</f>
        <v>3</v>
      </c>
      <c r="J8" s="78">
        <v>3</v>
      </c>
      <c r="K8" s="97" t="s">
        <v>191</v>
      </c>
      <c r="L8" s="84" t="s">
        <v>42</v>
      </c>
      <c r="M8" s="85"/>
      <c r="N8" s="85"/>
      <c r="O8" s="85"/>
      <c r="P8" s="85">
        <v>3</v>
      </c>
      <c r="Q8" s="85"/>
      <c r="R8" s="85"/>
      <c r="S8" s="86"/>
      <c r="T8" s="85"/>
      <c r="U8" s="85"/>
      <c r="V8" s="87" t="s">
        <v>48</v>
      </c>
    </row>
    <row r="9" spans="1:22" s="79" customFormat="1" ht="45" x14ac:dyDescent="0.25">
      <c r="A9" s="97" t="s">
        <v>53</v>
      </c>
      <c r="B9" s="79">
        <f>R41</f>
        <v>0.33333333333333331</v>
      </c>
      <c r="C9" s="79">
        <f>S42</f>
        <v>0.2</v>
      </c>
      <c r="D9" s="79">
        <f>P43</f>
        <v>3</v>
      </c>
      <c r="E9" s="79">
        <f>P44</f>
        <v>3</v>
      </c>
      <c r="F9" s="79">
        <f>R45</f>
        <v>0.33333333333333331</v>
      </c>
      <c r="G9" s="119">
        <v>1</v>
      </c>
      <c r="H9" s="79">
        <f>P46</f>
        <v>3</v>
      </c>
      <c r="J9" s="78">
        <v>4</v>
      </c>
      <c r="K9" s="97" t="s">
        <v>192</v>
      </c>
      <c r="L9" s="84" t="s">
        <v>42</v>
      </c>
      <c r="M9" s="85"/>
      <c r="N9" s="85"/>
      <c r="O9" s="85"/>
      <c r="P9" s="85"/>
      <c r="Q9" s="85"/>
      <c r="R9" s="85"/>
      <c r="S9" s="85">
        <f>1/5</f>
        <v>0.2</v>
      </c>
      <c r="T9" s="86"/>
      <c r="U9" s="85"/>
      <c r="V9" s="87" t="s">
        <v>51</v>
      </c>
    </row>
    <row r="10" spans="1:22" s="79" customFormat="1" ht="90" x14ac:dyDescent="0.25">
      <c r="A10" s="97" t="s">
        <v>55</v>
      </c>
      <c r="B10" s="79">
        <f>R48</f>
        <v>0.33333333333333331</v>
      </c>
      <c r="C10" s="79">
        <f>S49</f>
        <v>0.2</v>
      </c>
      <c r="D10" s="79">
        <f>P50</f>
        <v>3</v>
      </c>
      <c r="E10" s="79">
        <f>P51</f>
        <v>3</v>
      </c>
      <c r="F10" s="79">
        <f>R52</f>
        <v>0.33333333333333331</v>
      </c>
      <c r="G10" s="79">
        <f>R53</f>
        <v>0.33333333333333331</v>
      </c>
      <c r="H10" s="119">
        <v>1</v>
      </c>
      <c r="J10" s="78">
        <v>5</v>
      </c>
      <c r="K10" s="97" t="s">
        <v>51</v>
      </c>
      <c r="L10" s="84" t="s">
        <v>42</v>
      </c>
      <c r="M10" s="85"/>
      <c r="N10" s="85"/>
      <c r="O10" s="85"/>
      <c r="P10" s="85">
        <v>3</v>
      </c>
      <c r="Q10" s="85"/>
      <c r="R10" s="85"/>
      <c r="S10" s="85"/>
      <c r="T10" s="85"/>
      <c r="U10" s="85"/>
      <c r="V10" s="87" t="s">
        <v>53</v>
      </c>
    </row>
    <row r="11" spans="1:22" s="79" customFormat="1" ht="60" x14ac:dyDescent="0.25">
      <c r="A11" s="144" t="s">
        <v>81</v>
      </c>
      <c r="B11" s="144">
        <f>SUM(B4:B10)</f>
        <v>12.200000000000001</v>
      </c>
      <c r="C11" s="144">
        <f t="shared" ref="C11:H11" si="0">SUM(C4:C10)</f>
        <v>3</v>
      </c>
      <c r="D11" s="144">
        <f t="shared" si="0"/>
        <v>25</v>
      </c>
      <c r="E11" s="144">
        <f t="shared" si="0"/>
        <v>20.2</v>
      </c>
      <c r="F11" s="144">
        <f t="shared" si="0"/>
        <v>3.2666666666666666</v>
      </c>
      <c r="G11" s="144">
        <f t="shared" si="0"/>
        <v>13.000000000000002</v>
      </c>
      <c r="H11" s="144">
        <f t="shared" si="0"/>
        <v>15.666666666666668</v>
      </c>
      <c r="J11" s="78">
        <v>6</v>
      </c>
      <c r="K11" s="97" t="s">
        <v>53</v>
      </c>
      <c r="L11" s="84" t="s">
        <v>42</v>
      </c>
      <c r="M11" s="85"/>
      <c r="N11" s="85"/>
      <c r="O11" s="85"/>
      <c r="P11" s="85">
        <v>3</v>
      </c>
      <c r="Q11" s="85"/>
      <c r="R11" s="85"/>
      <c r="S11" s="85"/>
      <c r="T11" s="85"/>
      <c r="U11" s="86"/>
      <c r="V11" s="87" t="s">
        <v>55</v>
      </c>
    </row>
    <row r="12" spans="1:22" s="79" customFormat="1" ht="30" customHeight="1" x14ac:dyDescent="0.25">
      <c r="J12" s="78">
        <v>7</v>
      </c>
      <c r="K12" s="97" t="s">
        <v>55</v>
      </c>
      <c r="L12" s="88"/>
      <c r="M12" s="89"/>
      <c r="N12" s="89"/>
      <c r="O12" s="89"/>
      <c r="P12" s="89"/>
      <c r="Q12" s="89"/>
      <c r="R12" s="89"/>
      <c r="S12" s="89"/>
      <c r="T12" s="89"/>
      <c r="U12" s="89"/>
      <c r="V12" s="90"/>
    </row>
    <row r="13" spans="1:22" s="79" customFormat="1" ht="75" x14ac:dyDescent="0.25">
      <c r="A13" s="143" t="s">
        <v>79</v>
      </c>
      <c r="B13" s="97" t="s">
        <v>42</v>
      </c>
      <c r="C13" s="97" t="s">
        <v>44</v>
      </c>
      <c r="D13" s="97" t="s">
        <v>191</v>
      </c>
      <c r="E13" s="97" t="s">
        <v>192</v>
      </c>
      <c r="F13" s="97" t="s">
        <v>51</v>
      </c>
      <c r="G13" s="97" t="s">
        <v>53</v>
      </c>
      <c r="H13" s="97" t="s">
        <v>55</v>
      </c>
      <c r="K13" s="97"/>
      <c r="L13" s="91" t="s">
        <v>44</v>
      </c>
      <c r="M13" s="85"/>
      <c r="N13" s="85"/>
      <c r="O13" s="85">
        <v>5</v>
      </c>
      <c r="P13" s="85"/>
      <c r="Q13" s="85"/>
      <c r="R13" s="85"/>
      <c r="S13" s="85"/>
      <c r="T13" s="85"/>
      <c r="U13" s="85"/>
      <c r="V13" s="87" t="s">
        <v>42</v>
      </c>
    </row>
    <row r="14" spans="1:22" s="79" customFormat="1" ht="30" x14ac:dyDescent="0.25">
      <c r="A14" s="97" t="s">
        <v>42</v>
      </c>
      <c r="B14" s="145">
        <f>B4/$B$11</f>
        <v>8.1967213114754092E-2</v>
      </c>
      <c r="C14" s="79">
        <f>C4/$C$11</f>
        <v>6.6666666666666666E-2</v>
      </c>
      <c r="D14" s="79">
        <f>D4/$D$11</f>
        <v>0.12</v>
      </c>
      <c r="E14" s="79">
        <f>E4/$E$11</f>
        <v>0.14851485148514851</v>
      </c>
      <c r="F14" s="79">
        <f>F4/$F$11</f>
        <v>6.1224489795918373E-2</v>
      </c>
      <c r="G14" s="79">
        <f>G4/$G$11</f>
        <v>0.23076923076923073</v>
      </c>
      <c r="H14" s="79">
        <f>H4/$H$11</f>
        <v>0.19148936170212766</v>
      </c>
      <c r="K14" s="97"/>
      <c r="L14" s="91" t="s">
        <v>44</v>
      </c>
      <c r="M14" s="85"/>
      <c r="N14" s="85"/>
      <c r="O14" s="85">
        <v>5</v>
      </c>
      <c r="P14" s="85"/>
      <c r="Q14" s="85"/>
      <c r="R14" s="85"/>
      <c r="S14" s="85"/>
      <c r="T14" s="85"/>
      <c r="U14" s="85"/>
      <c r="V14" s="87" t="s">
        <v>46</v>
      </c>
    </row>
    <row r="15" spans="1:22" s="79" customFormat="1" ht="30" x14ac:dyDescent="0.25">
      <c r="A15" s="97" t="s">
        <v>44</v>
      </c>
      <c r="B15" s="79">
        <f t="shared" ref="B15:B20" si="1">B5/$B$11</f>
        <v>0.40983606557377045</v>
      </c>
      <c r="C15" s="145">
        <f t="shared" ref="C15:C20" si="2">C5/$C$11</f>
        <v>0.33333333333333331</v>
      </c>
      <c r="D15" s="79">
        <f t="shared" ref="D15:D20" si="3">D5/$D$11</f>
        <v>0.2</v>
      </c>
      <c r="E15" s="79">
        <f t="shared" ref="E15:E20" si="4">E5/$E$11</f>
        <v>0.24752475247524752</v>
      </c>
      <c r="F15" s="79">
        <f t="shared" ref="F15:F20" si="5">F5/$F$11</f>
        <v>0.30612244897959184</v>
      </c>
      <c r="G15" s="79">
        <f t="shared" ref="G15:G20" si="6">G5/$G$11</f>
        <v>0.38461538461538458</v>
      </c>
      <c r="H15" s="79">
        <f t="shared" ref="H15:H20" si="7">H5/$H$11</f>
        <v>0.31914893617021273</v>
      </c>
      <c r="K15" s="97"/>
      <c r="L15" s="91" t="s">
        <v>44</v>
      </c>
      <c r="M15" s="85"/>
      <c r="N15" s="85"/>
      <c r="O15" s="85">
        <v>5</v>
      </c>
      <c r="P15" s="85"/>
      <c r="Q15" s="85"/>
      <c r="R15" s="92"/>
      <c r="S15" s="85"/>
      <c r="T15" s="85"/>
      <c r="U15" s="85"/>
      <c r="V15" s="87" t="s">
        <v>48</v>
      </c>
    </row>
    <row r="16" spans="1:22" s="79" customFormat="1" ht="30" x14ac:dyDescent="0.25">
      <c r="A16" s="97" t="s">
        <v>191</v>
      </c>
      <c r="B16" s="79">
        <f t="shared" si="1"/>
        <v>2.7322404371584695E-2</v>
      </c>
      <c r="C16" s="79">
        <f t="shared" si="2"/>
        <v>6.6666666666666666E-2</v>
      </c>
      <c r="D16" s="145">
        <f t="shared" si="3"/>
        <v>0.04</v>
      </c>
      <c r="E16" s="79">
        <f t="shared" si="4"/>
        <v>9.9009900990099011E-3</v>
      </c>
      <c r="F16" s="79">
        <f t="shared" si="5"/>
        <v>6.1224489795918373E-2</v>
      </c>
      <c r="G16" s="79">
        <f t="shared" si="6"/>
        <v>2.5641025641025637E-2</v>
      </c>
      <c r="H16" s="79">
        <f t="shared" si="7"/>
        <v>2.1276595744680847E-2</v>
      </c>
      <c r="K16" s="97"/>
      <c r="L16" s="91" t="s">
        <v>44</v>
      </c>
      <c r="M16" s="85"/>
      <c r="N16" s="85"/>
      <c r="O16" s="85"/>
      <c r="P16" s="85"/>
      <c r="Q16" s="85">
        <v>1</v>
      </c>
      <c r="R16" s="85"/>
      <c r="S16" s="85"/>
      <c r="T16" s="85"/>
      <c r="U16" s="85"/>
      <c r="V16" s="87" t="s">
        <v>51</v>
      </c>
    </row>
    <row r="17" spans="1:22" s="79" customFormat="1" ht="30" x14ac:dyDescent="0.25">
      <c r="A17" s="97" t="s">
        <v>192</v>
      </c>
      <c r="B17" s="79">
        <f t="shared" si="1"/>
        <v>1.6393442622950821E-2</v>
      </c>
      <c r="C17" s="79">
        <f t="shared" si="2"/>
        <v>6.6666666666666666E-2</v>
      </c>
      <c r="D17" s="79">
        <f t="shared" si="3"/>
        <v>0.2</v>
      </c>
      <c r="E17" s="145">
        <f t="shared" si="4"/>
        <v>4.9504950495049507E-2</v>
      </c>
      <c r="F17" s="79">
        <f t="shared" si="5"/>
        <v>6.1224489795918373E-2</v>
      </c>
      <c r="G17" s="79">
        <f t="shared" si="6"/>
        <v>2.5641025641025637E-2</v>
      </c>
      <c r="H17" s="79">
        <f t="shared" si="7"/>
        <v>2.1276595744680847E-2</v>
      </c>
      <c r="K17" s="97"/>
      <c r="L17" s="91" t="s">
        <v>44</v>
      </c>
      <c r="M17" s="85"/>
      <c r="N17" s="85"/>
      <c r="O17" s="85">
        <v>5</v>
      </c>
      <c r="P17" s="85"/>
      <c r="Q17" s="85"/>
      <c r="R17" s="92"/>
      <c r="S17" s="85"/>
      <c r="T17" s="85"/>
      <c r="U17" s="85"/>
      <c r="V17" s="87" t="s">
        <v>53</v>
      </c>
    </row>
    <row r="18" spans="1:22" s="79" customFormat="1" ht="45" x14ac:dyDescent="0.25">
      <c r="A18" s="97" t="s">
        <v>51</v>
      </c>
      <c r="B18" s="79">
        <f t="shared" si="1"/>
        <v>0.40983606557377045</v>
      </c>
      <c r="C18" s="79">
        <f t="shared" si="2"/>
        <v>0.33333333333333331</v>
      </c>
      <c r="D18" s="79">
        <f t="shared" si="3"/>
        <v>0.2</v>
      </c>
      <c r="E18" s="79">
        <f t="shared" si="4"/>
        <v>0.24752475247524752</v>
      </c>
      <c r="F18" s="145">
        <f t="shared" si="5"/>
        <v>0.30612244897959184</v>
      </c>
      <c r="G18" s="79">
        <f t="shared" si="6"/>
        <v>0.23076923076923073</v>
      </c>
      <c r="H18" s="79">
        <f t="shared" si="7"/>
        <v>0.19148936170212766</v>
      </c>
      <c r="K18" s="97"/>
      <c r="L18" s="91" t="s">
        <v>44</v>
      </c>
      <c r="M18" s="85"/>
      <c r="N18" s="85"/>
      <c r="O18" s="85">
        <v>5</v>
      </c>
      <c r="P18" s="85"/>
      <c r="Q18" s="85"/>
      <c r="R18" s="85"/>
      <c r="S18" s="86"/>
      <c r="T18" s="85"/>
      <c r="U18" s="85"/>
      <c r="V18" s="87" t="s">
        <v>55</v>
      </c>
    </row>
    <row r="19" spans="1:22" s="79" customFormat="1" ht="30" x14ac:dyDescent="0.25">
      <c r="A19" s="97" t="s">
        <v>53</v>
      </c>
      <c r="B19" s="79">
        <f t="shared" si="1"/>
        <v>2.7322404371584695E-2</v>
      </c>
      <c r="C19" s="79">
        <f t="shared" si="2"/>
        <v>6.6666666666666666E-2</v>
      </c>
      <c r="D19" s="79">
        <f t="shared" si="3"/>
        <v>0.12</v>
      </c>
      <c r="E19" s="79">
        <f t="shared" si="4"/>
        <v>0.14851485148514851</v>
      </c>
      <c r="F19" s="79">
        <f t="shared" si="5"/>
        <v>0.10204081632653061</v>
      </c>
      <c r="G19" s="145">
        <f t="shared" si="6"/>
        <v>7.6923076923076913E-2</v>
      </c>
      <c r="H19" s="79">
        <f t="shared" si="7"/>
        <v>0.19148936170212766</v>
      </c>
      <c r="K19" s="97"/>
      <c r="L19" s="88"/>
      <c r="M19" s="89"/>
      <c r="N19" s="89"/>
      <c r="O19" s="89"/>
      <c r="P19" s="89"/>
      <c r="Q19" s="89"/>
      <c r="R19" s="89"/>
      <c r="S19" s="89"/>
      <c r="T19" s="89"/>
      <c r="U19" s="89"/>
      <c r="V19" s="90"/>
    </row>
    <row r="20" spans="1:22" s="79" customFormat="1" ht="45" x14ac:dyDescent="0.25">
      <c r="A20" s="97" t="s">
        <v>55</v>
      </c>
      <c r="B20" s="79">
        <f t="shared" si="1"/>
        <v>2.7322404371584695E-2</v>
      </c>
      <c r="C20" s="79">
        <f t="shared" si="2"/>
        <v>6.6666666666666666E-2</v>
      </c>
      <c r="D20" s="79">
        <f t="shared" si="3"/>
        <v>0.12</v>
      </c>
      <c r="E20" s="79">
        <f t="shared" si="4"/>
        <v>0.14851485148514851</v>
      </c>
      <c r="F20" s="79">
        <f t="shared" si="5"/>
        <v>0.10204081632653061</v>
      </c>
      <c r="G20" s="79">
        <f t="shared" si="6"/>
        <v>2.5641025641025637E-2</v>
      </c>
      <c r="H20" s="145">
        <f t="shared" si="7"/>
        <v>6.3829787234042548E-2</v>
      </c>
      <c r="K20" s="97"/>
      <c r="L20" s="97" t="s">
        <v>191</v>
      </c>
      <c r="M20" s="85"/>
      <c r="N20" s="85"/>
      <c r="O20" s="85"/>
      <c r="P20" s="85"/>
      <c r="Q20" s="85"/>
      <c r="R20" s="85">
        <f>1/3</f>
        <v>0.33333333333333331</v>
      </c>
      <c r="S20" s="85"/>
      <c r="T20" s="85"/>
      <c r="U20" s="85"/>
      <c r="V20" s="87" t="s">
        <v>42</v>
      </c>
    </row>
    <row r="21" spans="1:22" s="79" customFormat="1" ht="30" x14ac:dyDescent="0.25">
      <c r="A21" s="144" t="s">
        <v>81</v>
      </c>
      <c r="B21" s="79">
        <f>SUM(B14:B20)</f>
        <v>1</v>
      </c>
      <c r="C21" s="79">
        <f t="shared" ref="C21:H21" si="8">SUM(C14:C20)</f>
        <v>1</v>
      </c>
      <c r="D21" s="79">
        <f t="shared" si="8"/>
        <v>1</v>
      </c>
      <c r="E21" s="79">
        <f t="shared" si="8"/>
        <v>1</v>
      </c>
      <c r="F21" s="79">
        <f t="shared" si="8"/>
        <v>1</v>
      </c>
      <c r="G21" s="79">
        <f t="shared" si="8"/>
        <v>0.99999999999999989</v>
      </c>
      <c r="H21" s="79">
        <f t="shared" si="8"/>
        <v>1</v>
      </c>
      <c r="K21" s="97"/>
      <c r="L21" s="97" t="s">
        <v>191</v>
      </c>
      <c r="M21" s="85"/>
      <c r="N21" s="85"/>
      <c r="O21" s="85"/>
      <c r="P21" s="85"/>
      <c r="Q21" s="85"/>
      <c r="R21" s="92"/>
      <c r="S21" s="85">
        <f>1/5</f>
        <v>0.2</v>
      </c>
      <c r="T21" s="85"/>
      <c r="U21" s="85"/>
      <c r="V21" s="87" t="s">
        <v>44</v>
      </c>
    </row>
    <row r="22" spans="1:22" s="79" customFormat="1" ht="30" x14ac:dyDescent="0.25">
      <c r="K22" s="97"/>
      <c r="L22" s="97" t="s">
        <v>191</v>
      </c>
      <c r="M22" s="85"/>
      <c r="N22" s="85"/>
      <c r="O22" s="85"/>
      <c r="P22" s="85"/>
      <c r="Q22" s="85"/>
      <c r="R22" s="85"/>
      <c r="S22" s="85">
        <f>1/5</f>
        <v>0.2</v>
      </c>
      <c r="T22" s="85"/>
      <c r="U22" s="85"/>
      <c r="V22" s="87" t="s">
        <v>48</v>
      </c>
    </row>
    <row r="23" spans="1:22" s="79" customFormat="1" ht="30" x14ac:dyDescent="0.25">
      <c r="A23" s="149" t="s">
        <v>79</v>
      </c>
      <c r="B23" s="151" t="s">
        <v>82</v>
      </c>
      <c r="C23" s="150" t="s">
        <v>83</v>
      </c>
      <c r="K23" s="97"/>
      <c r="L23" s="97" t="s">
        <v>191</v>
      </c>
      <c r="M23" s="85"/>
      <c r="N23" s="85"/>
      <c r="O23" s="85"/>
      <c r="P23" s="85"/>
      <c r="Q23" s="85"/>
      <c r="R23" s="85"/>
      <c r="S23" s="85">
        <f>1/5</f>
        <v>0.2</v>
      </c>
      <c r="T23" s="85"/>
      <c r="U23" s="85"/>
      <c r="V23" s="87" t="s">
        <v>51</v>
      </c>
    </row>
    <row r="24" spans="1:22" s="79" customFormat="1" ht="30" x14ac:dyDescent="0.25">
      <c r="A24" s="146" t="s">
        <v>42</v>
      </c>
      <c r="B24" s="147">
        <f>AVERAGE(B14:H14)</f>
        <v>0.12866168764769229</v>
      </c>
      <c r="C24" s="148">
        <f>B24/SUM($B$24:$B$30)</f>
        <v>0.12866168764769229</v>
      </c>
      <c r="K24" s="97"/>
      <c r="L24" s="97" t="s">
        <v>191</v>
      </c>
      <c r="M24" s="85"/>
      <c r="N24" s="85"/>
      <c r="O24" s="85"/>
      <c r="P24" s="85"/>
      <c r="Q24" s="85"/>
      <c r="R24" s="85">
        <f>1/3</f>
        <v>0.33333333333333331</v>
      </c>
      <c r="S24" s="85"/>
      <c r="T24" s="85"/>
      <c r="U24" s="85"/>
      <c r="V24" s="87" t="s">
        <v>53</v>
      </c>
    </row>
    <row r="25" spans="1:22" s="79" customFormat="1" ht="30" x14ac:dyDescent="0.25">
      <c r="A25" s="146" t="s">
        <v>44</v>
      </c>
      <c r="B25" s="147">
        <f t="shared" ref="B25:B30" si="9">AVERAGE(B15:H15)</f>
        <v>0.31436870302107722</v>
      </c>
      <c r="C25" s="148">
        <f t="shared" ref="C25:C30" si="10">B25/SUM($B$24:$B$30)</f>
        <v>0.31436870302107722</v>
      </c>
      <c r="K25" s="97"/>
      <c r="L25" s="97" t="s">
        <v>191</v>
      </c>
      <c r="M25" s="85"/>
      <c r="N25" s="85"/>
      <c r="O25" s="85"/>
      <c r="P25" s="85"/>
      <c r="Q25" s="85"/>
      <c r="R25" s="85">
        <f>1/3</f>
        <v>0.33333333333333331</v>
      </c>
      <c r="S25" s="85"/>
      <c r="T25" s="85"/>
      <c r="U25" s="85"/>
      <c r="V25" s="87" t="s">
        <v>55</v>
      </c>
    </row>
    <row r="26" spans="1:22" s="79" customFormat="1" ht="30" x14ac:dyDescent="0.25">
      <c r="A26" s="146" t="s">
        <v>191</v>
      </c>
      <c r="B26" s="147">
        <f t="shared" si="9"/>
        <v>3.6004596045555164E-2</v>
      </c>
      <c r="C26" s="148">
        <f t="shared" si="10"/>
        <v>3.6004596045555164E-2</v>
      </c>
      <c r="K26" s="97"/>
      <c r="L26" s="88"/>
      <c r="M26" s="89"/>
      <c r="N26" s="89"/>
      <c r="O26" s="89"/>
      <c r="P26" s="89"/>
      <c r="Q26" s="89"/>
      <c r="R26" s="89"/>
      <c r="S26" s="89"/>
      <c r="T26" s="89"/>
      <c r="U26" s="89"/>
      <c r="V26" s="90"/>
    </row>
    <row r="27" spans="1:22" s="79" customFormat="1" ht="30" x14ac:dyDescent="0.25">
      <c r="A27" s="146" t="s">
        <v>192</v>
      </c>
      <c r="B27" s="147">
        <f t="shared" si="9"/>
        <v>6.2958167280898841E-2</v>
      </c>
      <c r="C27" s="148">
        <f t="shared" si="10"/>
        <v>6.2958167280898841E-2</v>
      </c>
      <c r="K27" s="97"/>
      <c r="L27" s="97" t="s">
        <v>192</v>
      </c>
      <c r="M27" s="85"/>
      <c r="N27" s="85"/>
      <c r="O27" s="85"/>
      <c r="P27" s="85"/>
      <c r="Q27" s="85"/>
      <c r="R27" s="85"/>
      <c r="S27" s="85">
        <f>1/5</f>
        <v>0.2</v>
      </c>
      <c r="T27" s="85"/>
      <c r="U27" s="85"/>
      <c r="V27" s="87" t="s">
        <v>42</v>
      </c>
    </row>
    <row r="28" spans="1:22" s="79" customFormat="1" ht="30" x14ac:dyDescent="0.25">
      <c r="A28" s="146" t="s">
        <v>181</v>
      </c>
      <c r="B28" s="147">
        <f t="shared" si="9"/>
        <v>0.27415359897618596</v>
      </c>
      <c r="C28" s="148">
        <f t="shared" si="10"/>
        <v>0.27415359897618596</v>
      </c>
      <c r="K28" s="97"/>
      <c r="L28" s="97" t="s">
        <v>192</v>
      </c>
      <c r="M28" s="85"/>
      <c r="N28" s="85"/>
      <c r="O28" s="85"/>
      <c r="P28" s="85"/>
      <c r="Q28" s="85"/>
      <c r="R28" s="86"/>
      <c r="S28" s="85">
        <f>1/5</f>
        <v>0.2</v>
      </c>
      <c r="T28" s="85"/>
      <c r="U28" s="85"/>
      <c r="V28" s="87" t="s">
        <v>44</v>
      </c>
    </row>
    <row r="29" spans="1:22" s="79" customFormat="1" ht="30" x14ac:dyDescent="0.25">
      <c r="A29" s="146" t="s">
        <v>53</v>
      </c>
      <c r="B29" s="147">
        <f t="shared" si="9"/>
        <v>0.10470816821073359</v>
      </c>
      <c r="C29" s="148">
        <f t="shared" si="10"/>
        <v>0.10470816821073359</v>
      </c>
      <c r="K29" s="97"/>
      <c r="L29" s="97" t="s">
        <v>192</v>
      </c>
      <c r="M29" s="85"/>
      <c r="N29" s="85"/>
      <c r="O29" s="85">
        <v>5</v>
      </c>
      <c r="P29" s="85"/>
      <c r="Q29" s="85"/>
      <c r="R29" s="86"/>
      <c r="S29" s="85"/>
      <c r="T29" s="85"/>
      <c r="U29" s="85"/>
      <c r="V29" s="87" t="s">
        <v>46</v>
      </c>
    </row>
    <row r="30" spans="1:22" s="79" customFormat="1" ht="45" x14ac:dyDescent="0.25">
      <c r="A30" s="146" t="s">
        <v>55</v>
      </c>
      <c r="B30" s="147">
        <f t="shared" si="9"/>
        <v>7.9145078817856956E-2</v>
      </c>
      <c r="C30" s="148">
        <f t="shared" si="10"/>
        <v>7.9145078817856956E-2</v>
      </c>
      <c r="K30" s="97"/>
      <c r="L30" s="97" t="s">
        <v>192</v>
      </c>
      <c r="M30" s="85"/>
      <c r="N30" s="85"/>
      <c r="O30" s="85"/>
      <c r="P30" s="85"/>
      <c r="Q30" s="85"/>
      <c r="R30" s="85"/>
      <c r="S30" s="85">
        <f>1/5</f>
        <v>0.2</v>
      </c>
      <c r="T30" s="85"/>
      <c r="U30" s="85"/>
      <c r="V30" s="87" t="s">
        <v>51</v>
      </c>
    </row>
    <row r="31" spans="1:22" s="79" customFormat="1" x14ac:dyDescent="0.25">
      <c r="A31" s="124" t="s">
        <v>81</v>
      </c>
      <c r="B31" s="73">
        <f>SUM(B23:B30)</f>
        <v>1</v>
      </c>
      <c r="C31" s="73">
        <f t="shared" ref="C31" si="11">SUM(C23:C30)</f>
        <v>1</v>
      </c>
      <c r="K31" s="97"/>
      <c r="L31" s="97" t="s">
        <v>192</v>
      </c>
      <c r="M31" s="85"/>
      <c r="N31" s="85"/>
      <c r="O31" s="85"/>
      <c r="P31" s="85"/>
      <c r="Q31" s="85"/>
      <c r="R31" s="85">
        <f t="shared" ref="R31:R32" si="12">1/3</f>
        <v>0.33333333333333331</v>
      </c>
      <c r="S31" s="85"/>
      <c r="T31" s="85"/>
      <c r="U31" s="85"/>
      <c r="V31" s="87" t="s">
        <v>53</v>
      </c>
    </row>
    <row r="32" spans="1:22" s="79" customFormat="1" ht="30" x14ac:dyDescent="0.25">
      <c r="A32" s="124"/>
      <c r="B32" s="73"/>
      <c r="C32" s="73"/>
      <c r="K32" s="97"/>
      <c r="L32" s="97" t="s">
        <v>192</v>
      </c>
      <c r="M32" s="85"/>
      <c r="N32" s="85"/>
      <c r="O32" s="85"/>
      <c r="P32" s="85"/>
      <c r="Q32" s="85"/>
      <c r="R32" s="85">
        <f t="shared" si="12"/>
        <v>0.33333333333333331</v>
      </c>
      <c r="S32" s="85"/>
      <c r="T32" s="85"/>
      <c r="U32" s="85"/>
      <c r="V32" s="87" t="s">
        <v>55</v>
      </c>
    </row>
    <row r="33" spans="1:22" s="79" customFormat="1" x14ac:dyDescent="0.25">
      <c r="A33" t="s">
        <v>84</v>
      </c>
      <c r="B33">
        <f>B14*B24+C15*B25+D16*B26+E17*B27+F18*B28+G19*B29+H20*B30</f>
        <v>0.21692339157560991</v>
      </c>
      <c r="K33" s="97"/>
      <c r="L33" s="88"/>
      <c r="M33" s="89"/>
      <c r="N33" s="89"/>
      <c r="O33" s="89"/>
      <c r="P33" s="89"/>
      <c r="Q33" s="89"/>
      <c r="R33" s="89"/>
      <c r="S33" s="89"/>
      <c r="T33" s="89"/>
      <c r="U33" s="89"/>
      <c r="V33" s="90"/>
    </row>
    <row r="34" spans="1:22" s="79" customFormat="1" ht="30" x14ac:dyDescent="0.25">
      <c r="A34" s="65" t="s">
        <v>88</v>
      </c>
      <c r="B34">
        <f>B24*B11+B25*C11+B26*D11+B27*E11+B28*F11+B29*G11+B30*H11</f>
        <v>8.1813627567862834</v>
      </c>
      <c r="K34" s="97"/>
      <c r="L34" s="91" t="s">
        <v>51</v>
      </c>
      <c r="M34" s="85"/>
      <c r="N34" s="85"/>
      <c r="O34" s="85">
        <v>5</v>
      </c>
      <c r="P34" s="85"/>
      <c r="Q34" s="85"/>
      <c r="R34" s="85"/>
      <c r="S34" s="85"/>
      <c r="T34" s="85"/>
      <c r="U34" s="85"/>
      <c r="V34" s="87" t="s">
        <v>42</v>
      </c>
    </row>
    <row r="35" spans="1:22" s="79" customFormat="1" ht="30" x14ac:dyDescent="0.25">
      <c r="A35" t="s">
        <v>85</v>
      </c>
      <c r="B35">
        <f>(B34-COUNT(A24:A30))/(COUNT(A24:A30)-1)</f>
        <v>-8.1813627567862834</v>
      </c>
      <c r="K35" s="97"/>
      <c r="L35" s="91" t="s">
        <v>51</v>
      </c>
      <c r="M35" s="85"/>
      <c r="N35" s="85"/>
      <c r="O35" s="85"/>
      <c r="P35" s="85"/>
      <c r="Q35" s="85">
        <v>1</v>
      </c>
      <c r="R35" s="85"/>
      <c r="S35" s="85"/>
      <c r="T35" s="85"/>
      <c r="U35" s="85"/>
      <c r="V35" s="87" t="s">
        <v>44</v>
      </c>
    </row>
    <row r="36" spans="1:22" s="79" customFormat="1" ht="30" x14ac:dyDescent="0.25">
      <c r="A36" t="s">
        <v>86</v>
      </c>
      <c r="B36">
        <v>1.41</v>
      </c>
      <c r="K36" s="97"/>
      <c r="L36" s="91" t="s">
        <v>51</v>
      </c>
      <c r="M36" s="85"/>
      <c r="N36" s="85"/>
      <c r="O36" s="85">
        <v>5</v>
      </c>
      <c r="P36" s="85"/>
      <c r="Q36" s="85"/>
      <c r="R36" s="86"/>
      <c r="S36" s="85"/>
      <c r="T36" s="85"/>
      <c r="U36" s="85"/>
      <c r="V36" s="87" t="s">
        <v>191</v>
      </c>
    </row>
    <row r="37" spans="1:22" s="79" customFormat="1" ht="30" x14ac:dyDescent="0.25">
      <c r="A37" t="s">
        <v>87</v>
      </c>
      <c r="B37" s="125">
        <f>B35/B36</f>
        <v>-5.8023849338909814</v>
      </c>
      <c r="K37" s="97"/>
      <c r="L37" s="91" t="s">
        <v>51</v>
      </c>
      <c r="M37" s="85"/>
      <c r="N37" s="85"/>
      <c r="O37" s="85">
        <v>5</v>
      </c>
      <c r="P37" s="85"/>
      <c r="Q37" s="85"/>
      <c r="R37" s="85"/>
      <c r="S37" s="86"/>
      <c r="T37" s="85"/>
      <c r="U37" s="85"/>
      <c r="V37" s="87" t="s">
        <v>192</v>
      </c>
    </row>
    <row r="38" spans="1:22" s="79" customFormat="1" ht="30" x14ac:dyDescent="0.25">
      <c r="K38" s="97"/>
      <c r="L38" s="91" t="s">
        <v>51</v>
      </c>
      <c r="M38" s="85"/>
      <c r="N38" s="85"/>
      <c r="O38" s="85"/>
      <c r="P38" s="85">
        <v>3</v>
      </c>
      <c r="Q38" s="85"/>
      <c r="R38" s="85"/>
      <c r="S38" s="85"/>
      <c r="T38" s="85"/>
      <c r="U38" s="85"/>
      <c r="V38" s="87" t="s">
        <v>53</v>
      </c>
    </row>
    <row r="39" spans="1:22" s="79" customFormat="1" ht="30" x14ac:dyDescent="0.25">
      <c r="K39" s="97"/>
      <c r="L39" s="91" t="s">
        <v>51</v>
      </c>
      <c r="M39" s="85"/>
      <c r="N39" s="85"/>
      <c r="O39" s="85"/>
      <c r="P39" s="85">
        <v>3</v>
      </c>
      <c r="Q39" s="85"/>
      <c r="R39" s="85"/>
      <c r="S39" s="86"/>
      <c r="T39" s="85"/>
      <c r="U39" s="85"/>
      <c r="V39" s="87" t="s">
        <v>55</v>
      </c>
    </row>
    <row r="40" spans="1:22" s="79" customFormat="1" x14ac:dyDescent="0.25">
      <c r="K40" s="97"/>
      <c r="L40" s="88"/>
      <c r="M40" s="89"/>
      <c r="N40" s="89"/>
      <c r="O40" s="89"/>
      <c r="P40" s="89"/>
      <c r="Q40" s="89"/>
      <c r="R40" s="89"/>
      <c r="S40" s="89"/>
      <c r="T40" s="89"/>
      <c r="U40" s="89"/>
      <c r="V40" s="90"/>
    </row>
    <row r="41" spans="1:22" s="79" customFormat="1" x14ac:dyDescent="0.25">
      <c r="K41" s="97"/>
      <c r="L41" s="91" t="s">
        <v>53</v>
      </c>
      <c r="M41" s="85"/>
      <c r="N41" s="85"/>
      <c r="O41" s="85"/>
      <c r="P41" s="85"/>
      <c r="Q41" s="85"/>
      <c r="R41" s="85">
        <f t="shared" ref="R41" si="13">1/3</f>
        <v>0.33333333333333331</v>
      </c>
      <c r="S41" s="85"/>
      <c r="T41" s="85"/>
      <c r="U41" s="85"/>
      <c r="V41" s="87" t="s">
        <v>42</v>
      </c>
    </row>
    <row r="42" spans="1:22" s="79" customFormat="1" x14ac:dyDescent="0.25">
      <c r="K42" s="97"/>
      <c r="L42" s="91" t="s">
        <v>53</v>
      </c>
      <c r="M42" s="85"/>
      <c r="N42" s="85"/>
      <c r="O42" s="85"/>
      <c r="P42" s="85"/>
      <c r="Q42" s="85"/>
      <c r="R42" s="85"/>
      <c r="S42" s="85">
        <f>1/5</f>
        <v>0.2</v>
      </c>
      <c r="T42" s="85"/>
      <c r="U42" s="85"/>
      <c r="V42" s="87" t="s">
        <v>44</v>
      </c>
    </row>
    <row r="43" spans="1:22" s="79" customFormat="1" ht="30" x14ac:dyDescent="0.25">
      <c r="K43" s="97"/>
      <c r="L43" s="91" t="s">
        <v>53</v>
      </c>
      <c r="M43" s="85"/>
      <c r="N43" s="85"/>
      <c r="O43" s="85"/>
      <c r="P43" s="85">
        <v>3</v>
      </c>
      <c r="Q43" s="85"/>
      <c r="R43" s="85"/>
      <c r="S43" s="86"/>
      <c r="T43" s="85"/>
      <c r="U43" s="85"/>
      <c r="V43" s="87" t="s">
        <v>191</v>
      </c>
    </row>
    <row r="44" spans="1:22" s="79" customFormat="1" x14ac:dyDescent="0.25">
      <c r="K44" s="97"/>
      <c r="L44" s="91" t="s">
        <v>53</v>
      </c>
      <c r="M44" s="85"/>
      <c r="N44" s="85"/>
      <c r="O44" s="85"/>
      <c r="P44" s="85">
        <v>3</v>
      </c>
      <c r="Q44" s="85"/>
      <c r="R44" s="85"/>
      <c r="S44" s="85"/>
      <c r="T44" s="86"/>
      <c r="U44" s="85"/>
      <c r="V44" s="87" t="s">
        <v>192</v>
      </c>
    </row>
    <row r="45" spans="1:22" s="79" customFormat="1" x14ac:dyDescent="0.25">
      <c r="K45" s="97"/>
      <c r="L45" s="91" t="s">
        <v>53</v>
      </c>
      <c r="M45" s="85"/>
      <c r="N45" s="85"/>
      <c r="O45" s="85"/>
      <c r="P45" s="85"/>
      <c r="Q45" s="85"/>
      <c r="R45" s="85">
        <f t="shared" ref="R45" si="14">1/3</f>
        <v>0.33333333333333331</v>
      </c>
      <c r="S45" s="86"/>
      <c r="T45" s="85"/>
      <c r="U45" s="85"/>
      <c r="V45" s="87" t="s">
        <v>51</v>
      </c>
    </row>
    <row r="46" spans="1:22" s="79" customFormat="1" ht="30" x14ac:dyDescent="0.25">
      <c r="K46" s="97"/>
      <c r="L46" s="91" t="s">
        <v>53</v>
      </c>
      <c r="M46" s="85"/>
      <c r="N46" s="85"/>
      <c r="O46" s="85"/>
      <c r="P46" s="85">
        <v>3</v>
      </c>
      <c r="Q46" s="85"/>
      <c r="R46" s="85"/>
      <c r="S46" s="86"/>
      <c r="T46" s="85"/>
      <c r="U46" s="85"/>
      <c r="V46" s="87" t="s">
        <v>55</v>
      </c>
    </row>
    <row r="47" spans="1:22" s="79" customFormat="1" x14ac:dyDescent="0.25">
      <c r="K47" s="97"/>
      <c r="L47" s="88"/>
      <c r="M47" s="89"/>
      <c r="N47" s="89"/>
      <c r="O47" s="89"/>
      <c r="P47" s="89"/>
      <c r="Q47" s="89"/>
      <c r="R47" s="89"/>
      <c r="S47" s="89"/>
      <c r="T47" s="89"/>
      <c r="U47" s="89"/>
      <c r="V47" s="90"/>
    </row>
    <row r="48" spans="1:22" s="79" customFormat="1" ht="45" x14ac:dyDescent="0.25">
      <c r="K48" s="97"/>
      <c r="L48" s="91" t="s">
        <v>55</v>
      </c>
      <c r="M48" s="85"/>
      <c r="N48" s="85"/>
      <c r="O48" s="85"/>
      <c r="P48" s="85"/>
      <c r="Q48" s="85"/>
      <c r="R48" s="85">
        <f t="shared" ref="R48" si="15">1/3</f>
        <v>0.33333333333333331</v>
      </c>
      <c r="S48" s="85"/>
      <c r="T48" s="85"/>
      <c r="U48" s="85"/>
      <c r="V48" s="87" t="s">
        <v>42</v>
      </c>
    </row>
    <row r="49" spans="11:22" s="79" customFormat="1" ht="45" x14ac:dyDescent="0.25">
      <c r="K49" s="97"/>
      <c r="L49" s="91" t="s">
        <v>55</v>
      </c>
      <c r="M49" s="85"/>
      <c r="N49" s="85"/>
      <c r="O49" s="85"/>
      <c r="P49" s="85"/>
      <c r="Q49" s="85"/>
      <c r="R49" s="85"/>
      <c r="S49" s="85">
        <f>1/5</f>
        <v>0.2</v>
      </c>
      <c r="T49" s="85"/>
      <c r="U49" s="85"/>
      <c r="V49" s="87" t="s">
        <v>44</v>
      </c>
    </row>
    <row r="50" spans="11:22" s="79" customFormat="1" ht="45" x14ac:dyDescent="0.25">
      <c r="K50" s="97"/>
      <c r="L50" s="91" t="s">
        <v>55</v>
      </c>
      <c r="M50" s="85"/>
      <c r="N50" s="85"/>
      <c r="O50" s="85"/>
      <c r="P50" s="85">
        <v>3</v>
      </c>
      <c r="Q50" s="85"/>
      <c r="R50" s="85"/>
      <c r="S50" s="85"/>
      <c r="T50" s="85"/>
      <c r="U50" s="85"/>
      <c r="V50" s="87" t="s">
        <v>191</v>
      </c>
    </row>
    <row r="51" spans="11:22" s="79" customFormat="1" ht="45" x14ac:dyDescent="0.25">
      <c r="K51" s="97"/>
      <c r="L51" s="91" t="s">
        <v>55</v>
      </c>
      <c r="M51" s="85"/>
      <c r="N51" s="85"/>
      <c r="O51" s="85"/>
      <c r="P51" s="85">
        <v>3</v>
      </c>
      <c r="Q51" s="85"/>
      <c r="R51" s="85"/>
      <c r="S51" s="85"/>
      <c r="T51" s="85"/>
      <c r="U51" s="85"/>
      <c r="V51" s="87" t="s">
        <v>192</v>
      </c>
    </row>
    <row r="52" spans="11:22" s="79" customFormat="1" ht="45" x14ac:dyDescent="0.25">
      <c r="K52" s="97"/>
      <c r="L52" s="91" t="s">
        <v>55</v>
      </c>
      <c r="M52" s="85"/>
      <c r="N52" s="85"/>
      <c r="O52" s="85"/>
      <c r="P52" s="85"/>
      <c r="Q52" s="85"/>
      <c r="R52" s="85">
        <f t="shared" ref="R52:R53" si="16">1/3</f>
        <v>0.33333333333333331</v>
      </c>
      <c r="S52" s="85"/>
      <c r="T52" s="85"/>
      <c r="U52" s="85"/>
      <c r="V52" s="87" t="s">
        <v>51</v>
      </c>
    </row>
    <row r="53" spans="11:22" s="79" customFormat="1" ht="45" x14ac:dyDescent="0.25">
      <c r="K53" s="97"/>
      <c r="L53" s="93" t="s">
        <v>55</v>
      </c>
      <c r="M53" s="94"/>
      <c r="N53" s="94"/>
      <c r="O53" s="94"/>
      <c r="P53" s="94"/>
      <c r="Q53" s="94"/>
      <c r="R53" s="85">
        <f t="shared" si="16"/>
        <v>0.33333333333333331</v>
      </c>
      <c r="S53" s="94"/>
      <c r="T53" s="94"/>
      <c r="U53" s="94"/>
      <c r="V53" s="95" t="s">
        <v>53</v>
      </c>
    </row>
  </sheetData>
  <mergeCells count="1">
    <mergeCell ref="M3:U3"/>
  </mergeCells>
  <pageMargins left="0.7" right="0.7" top="0.75" bottom="0.75" header="0.3" footer="0.3"/>
  <pageSetup paperSize="9" scale="65" orientation="landscape" r:id="rId1"/>
  <colBreaks count="1" manualBreakCount="1">
    <brk id="11" max="49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4"/>
  <sheetViews>
    <sheetView tabSelected="1" zoomScale="85" zoomScaleNormal="85" zoomScaleSheetLayoutView="55" workbookViewId="0">
      <pane xSplit="7" ySplit="2" topLeftCell="H3" activePane="bottomRight" state="frozen"/>
      <selection pane="topRight" activeCell="D1" sqref="D1"/>
      <selection pane="bottomLeft" activeCell="A6" sqref="A6"/>
      <selection pane="bottomRight" activeCell="B10" sqref="B10"/>
    </sheetView>
  </sheetViews>
  <sheetFormatPr defaultRowHeight="15" x14ac:dyDescent="0.25"/>
  <cols>
    <col min="1" max="1" width="28.85546875" customWidth="1"/>
    <col min="2" max="2" width="14.85546875" bestFit="1" customWidth="1"/>
    <col min="3" max="3" width="36.42578125" customWidth="1"/>
    <col min="4" max="7" width="18.5703125" customWidth="1"/>
    <col min="8" max="8" width="30.7109375" customWidth="1"/>
    <col min="9" max="9" width="15.5703125" customWidth="1"/>
    <col min="10" max="10" width="13.85546875" customWidth="1"/>
    <col min="11" max="11" width="12.5703125" bestFit="1" customWidth="1"/>
  </cols>
  <sheetData>
    <row r="3" spans="1:13" s="79" customFormat="1" x14ac:dyDescent="0.25"/>
    <row r="4" spans="1:13" s="79" customFormat="1" x14ac:dyDescent="0.25">
      <c r="A4" s="293" t="s">
        <v>79</v>
      </c>
      <c r="B4" s="294" t="s">
        <v>0</v>
      </c>
      <c r="C4" s="295" t="s">
        <v>93</v>
      </c>
      <c r="D4" s="185" t="s">
        <v>96</v>
      </c>
      <c r="E4" s="186" t="s">
        <v>98</v>
      </c>
      <c r="F4" s="188" t="s">
        <v>102</v>
      </c>
      <c r="G4" s="189" t="s">
        <v>104</v>
      </c>
      <c r="H4" s="189" t="s">
        <v>105</v>
      </c>
      <c r="I4" s="190" t="s">
        <v>106</v>
      </c>
      <c r="J4" s="193" t="s">
        <v>114</v>
      </c>
      <c r="K4" s="194" t="s">
        <v>115</v>
      </c>
      <c r="L4" s="195" t="s">
        <v>116</v>
      </c>
      <c r="M4" s="196" t="s">
        <v>117</v>
      </c>
    </row>
    <row r="5" spans="1:13" s="79" customFormat="1" x14ac:dyDescent="0.25">
      <c r="A5" s="296" t="s">
        <v>42</v>
      </c>
      <c r="B5" s="299" t="s">
        <v>193</v>
      </c>
      <c r="C5" s="299" t="s">
        <v>198</v>
      </c>
      <c r="D5" s="299" t="s">
        <v>198</v>
      </c>
      <c r="E5" s="299" t="s">
        <v>198</v>
      </c>
      <c r="F5" s="299" t="s">
        <v>198</v>
      </c>
      <c r="G5" s="299" t="s">
        <v>201</v>
      </c>
      <c r="H5" s="299" t="s">
        <v>198</v>
      </c>
      <c r="I5" s="299" t="s">
        <v>198</v>
      </c>
      <c r="J5" s="299" t="s">
        <v>198</v>
      </c>
      <c r="K5" s="299" t="s">
        <v>196</v>
      </c>
      <c r="L5" s="299" t="s">
        <v>198</v>
      </c>
      <c r="M5" s="299" t="s">
        <v>198</v>
      </c>
    </row>
    <row r="6" spans="1:13" s="79" customFormat="1" x14ac:dyDescent="0.25">
      <c r="A6" s="296" t="s">
        <v>44</v>
      </c>
      <c r="B6" s="299" t="s">
        <v>45</v>
      </c>
      <c r="C6" s="299" t="s">
        <v>205</v>
      </c>
      <c r="D6" s="299" t="s">
        <v>205</v>
      </c>
      <c r="E6" s="299" t="s">
        <v>205</v>
      </c>
      <c r="F6" s="299" t="s">
        <v>206</v>
      </c>
      <c r="G6" s="299" t="s">
        <v>206</v>
      </c>
      <c r="H6" s="299" t="s">
        <v>45</v>
      </c>
      <c r="I6" s="299" t="s">
        <v>205</v>
      </c>
      <c r="J6" s="299" t="s">
        <v>206</v>
      </c>
      <c r="K6" s="299" t="s">
        <v>206</v>
      </c>
      <c r="L6" s="299" t="s">
        <v>206</v>
      </c>
      <c r="M6" s="299" t="s">
        <v>206</v>
      </c>
    </row>
    <row r="7" spans="1:13" s="79" customFormat="1" ht="30" x14ac:dyDescent="0.25">
      <c r="A7" s="296" t="s">
        <v>191</v>
      </c>
      <c r="B7" s="122" t="s">
        <v>199</v>
      </c>
      <c r="C7" s="122" t="s">
        <v>47</v>
      </c>
      <c r="D7" s="122" t="s">
        <v>47</v>
      </c>
      <c r="E7" s="122" t="s">
        <v>47</v>
      </c>
      <c r="F7" s="122" t="s">
        <v>47</v>
      </c>
      <c r="G7" s="122" t="s">
        <v>47</v>
      </c>
      <c r="H7" s="122" t="s">
        <v>47</v>
      </c>
      <c r="I7" s="122" t="s">
        <v>47</v>
      </c>
      <c r="J7" s="122" t="s">
        <v>47</v>
      </c>
      <c r="K7" s="122" t="s">
        <v>47</v>
      </c>
      <c r="L7" s="122" t="s">
        <v>47</v>
      </c>
      <c r="M7" s="122" t="s">
        <v>47</v>
      </c>
    </row>
    <row r="8" spans="1:13" s="79" customFormat="1" ht="105" x14ac:dyDescent="0.25">
      <c r="A8" s="296" t="s">
        <v>192</v>
      </c>
      <c r="B8" s="76" t="s">
        <v>194</v>
      </c>
      <c r="C8" s="76" t="s">
        <v>208</v>
      </c>
      <c r="D8" s="76" t="s">
        <v>208</v>
      </c>
      <c r="E8" s="76" t="s">
        <v>210</v>
      </c>
      <c r="F8" s="76" t="s">
        <v>208</v>
      </c>
      <c r="G8" s="76" t="s">
        <v>209</v>
      </c>
      <c r="H8" s="76" t="s">
        <v>208</v>
      </c>
      <c r="I8" s="76" t="s">
        <v>209</v>
      </c>
      <c r="J8" s="76" t="s">
        <v>211</v>
      </c>
      <c r="K8" s="76" t="s">
        <v>194</v>
      </c>
      <c r="L8" s="76" t="s">
        <v>209</v>
      </c>
      <c r="M8" s="76" t="s">
        <v>209</v>
      </c>
    </row>
    <row r="9" spans="1:13" s="79" customFormat="1" ht="30" x14ac:dyDescent="0.25">
      <c r="A9" s="296" t="s">
        <v>181</v>
      </c>
      <c r="B9" s="122" t="s">
        <v>203</v>
      </c>
      <c r="C9" s="122" t="s">
        <v>203</v>
      </c>
      <c r="D9" s="122" t="s">
        <v>203</v>
      </c>
      <c r="E9" s="122" t="s">
        <v>203</v>
      </c>
      <c r="F9" s="122" t="s">
        <v>203</v>
      </c>
      <c r="G9" s="122" t="s">
        <v>203</v>
      </c>
      <c r="H9" s="122" t="s">
        <v>203</v>
      </c>
      <c r="I9" s="122" t="s">
        <v>203</v>
      </c>
      <c r="J9" s="122" t="s">
        <v>203</v>
      </c>
      <c r="K9" s="122" t="s">
        <v>203</v>
      </c>
      <c r="L9" s="122" t="s">
        <v>203</v>
      </c>
      <c r="M9" s="122" t="s">
        <v>203</v>
      </c>
    </row>
    <row r="10" spans="1:13" s="79" customFormat="1" ht="30" x14ac:dyDescent="0.25">
      <c r="A10" s="296" t="s">
        <v>53</v>
      </c>
      <c r="B10" s="122" t="s">
        <v>2</v>
      </c>
      <c r="C10" s="122" t="s">
        <v>2</v>
      </c>
      <c r="D10" s="122" t="s">
        <v>54</v>
      </c>
      <c r="E10" s="122" t="s">
        <v>54</v>
      </c>
      <c r="F10" s="122" t="s">
        <v>54</v>
      </c>
      <c r="G10" s="122" t="s">
        <v>2</v>
      </c>
      <c r="H10" s="122" t="s">
        <v>54</v>
      </c>
      <c r="I10" s="122" t="s">
        <v>54</v>
      </c>
      <c r="J10" s="122" t="s">
        <v>54</v>
      </c>
      <c r="K10" s="122" t="s">
        <v>54</v>
      </c>
      <c r="L10" s="122" t="s">
        <v>54</v>
      </c>
      <c r="M10" s="122" t="s">
        <v>54</v>
      </c>
    </row>
    <row r="11" spans="1:13" s="79" customFormat="1" ht="45" x14ac:dyDescent="0.25">
      <c r="A11" s="296" t="s">
        <v>55</v>
      </c>
      <c r="B11" s="122" t="s">
        <v>2</v>
      </c>
      <c r="C11" s="122" t="s">
        <v>2</v>
      </c>
      <c r="D11" s="122" t="s">
        <v>2</v>
      </c>
      <c r="E11" s="122" t="s">
        <v>2</v>
      </c>
      <c r="F11" s="122" t="s">
        <v>2</v>
      </c>
      <c r="G11" s="122" t="s">
        <v>2</v>
      </c>
      <c r="H11" s="122" t="s">
        <v>2</v>
      </c>
      <c r="I11" s="122" t="s">
        <v>2</v>
      </c>
      <c r="J11" s="122" t="s">
        <v>2</v>
      </c>
      <c r="K11" s="122" t="s">
        <v>2</v>
      </c>
      <c r="L11" s="122" t="s">
        <v>2</v>
      </c>
      <c r="M11" s="122" t="s">
        <v>2</v>
      </c>
    </row>
    <row r="12" spans="1:13" s="79" customFormat="1" x14ac:dyDescent="0.25">
      <c r="A12" s="124" t="s">
        <v>81</v>
      </c>
      <c r="B12" s="297"/>
      <c r="C12" s="297"/>
    </row>
    <row r="13" spans="1:13" s="79" customFormat="1" x14ac:dyDescent="0.25">
      <c r="A13" s="124"/>
      <c r="B13" s="298"/>
      <c r="C13" s="298"/>
    </row>
    <row r="14" spans="1:13" s="79" customFormat="1" x14ac:dyDescent="0.25">
      <c r="A14"/>
      <c r="B14" s="66" t="s">
        <v>195</v>
      </c>
      <c r="C14" s="62"/>
      <c r="D14" s="62"/>
      <c r="E14" s="300" t="s">
        <v>191</v>
      </c>
      <c r="F14" s="62"/>
      <c r="G14" s="62"/>
      <c r="H14" s="301" t="s">
        <v>181</v>
      </c>
      <c r="I14" s="62"/>
    </row>
    <row r="15" spans="1:13" s="79" customFormat="1" x14ac:dyDescent="0.25">
      <c r="A15" s="65"/>
      <c r="B15" s="302" t="s">
        <v>196</v>
      </c>
      <c r="C15" s="299">
        <f>100/5</f>
        <v>20</v>
      </c>
      <c r="D15" s="62"/>
      <c r="E15" s="299" t="s">
        <v>47</v>
      </c>
      <c r="F15" s="299">
        <f>F16+F17</f>
        <v>100</v>
      </c>
      <c r="G15" s="62"/>
      <c r="H15" s="299" t="s">
        <v>197</v>
      </c>
      <c r="I15" s="303">
        <f>100/3</f>
        <v>33.333333333333336</v>
      </c>
    </row>
    <row r="16" spans="1:13" s="79" customFormat="1" x14ac:dyDescent="0.25">
      <c r="A16"/>
      <c r="B16" s="299" t="s">
        <v>198</v>
      </c>
      <c r="C16" s="299">
        <f>C15+C15</f>
        <v>40</v>
      </c>
      <c r="D16" s="62"/>
      <c r="E16" s="299" t="s">
        <v>199</v>
      </c>
      <c r="F16" s="303">
        <f>F17*2</f>
        <v>66.666666666666671</v>
      </c>
      <c r="G16" s="62"/>
      <c r="H16" s="299" t="s">
        <v>200</v>
      </c>
      <c r="I16" s="303">
        <f>I15*2</f>
        <v>66.666666666666671</v>
      </c>
    </row>
    <row r="17" spans="1:9" s="79" customFormat="1" x14ac:dyDescent="0.25">
      <c r="A17"/>
      <c r="B17" s="299" t="s">
        <v>201</v>
      </c>
      <c r="C17" s="299">
        <f>C16+C15</f>
        <v>60</v>
      </c>
      <c r="D17" s="62"/>
      <c r="E17" s="299" t="s">
        <v>202</v>
      </c>
      <c r="F17" s="303">
        <f>100/3</f>
        <v>33.333333333333336</v>
      </c>
      <c r="G17" s="62"/>
      <c r="H17" s="299" t="s">
        <v>203</v>
      </c>
      <c r="I17" s="299">
        <f>I16+I15</f>
        <v>100</v>
      </c>
    </row>
    <row r="18" spans="1:9" s="79" customFormat="1" x14ac:dyDescent="0.25">
      <c r="A18"/>
      <c r="B18" s="299" t="s">
        <v>204</v>
      </c>
      <c r="C18" s="299">
        <f>C17+C15</f>
        <v>80</v>
      </c>
      <c r="D18" s="62"/>
      <c r="E18" s="62"/>
      <c r="F18" s="62"/>
      <c r="G18" s="62"/>
      <c r="H18" s="62"/>
      <c r="I18" s="62"/>
    </row>
    <row r="19" spans="1:9" s="79" customFormat="1" x14ac:dyDescent="0.25">
      <c r="B19" s="299" t="s">
        <v>193</v>
      </c>
      <c r="C19" s="299">
        <f>C18+C15</f>
        <v>100</v>
      </c>
      <c r="D19" s="62"/>
      <c r="E19" s="62"/>
      <c r="F19" s="62"/>
      <c r="G19" s="62"/>
      <c r="H19" s="62"/>
      <c r="I19" s="62"/>
    </row>
    <row r="20" spans="1:9" s="79" customFormat="1" x14ac:dyDescent="0.25">
      <c r="B20" s="62"/>
      <c r="C20" s="62"/>
      <c r="D20" s="62"/>
      <c r="E20" s="62"/>
      <c r="F20" s="62"/>
      <c r="G20" s="62"/>
      <c r="H20" s="62"/>
      <c r="I20" s="62"/>
    </row>
    <row r="21" spans="1:9" s="79" customFormat="1" x14ac:dyDescent="0.25">
      <c r="B21" s="300" t="s">
        <v>44</v>
      </c>
      <c r="C21" s="62"/>
      <c r="D21" s="62"/>
      <c r="E21" s="62"/>
      <c r="F21" s="62"/>
      <c r="G21" s="62"/>
      <c r="H21" s="300" t="s">
        <v>53</v>
      </c>
      <c r="I21" s="62"/>
    </row>
    <row r="22" spans="1:9" s="79" customFormat="1" x14ac:dyDescent="0.25">
      <c r="B22" s="299" t="s">
        <v>205</v>
      </c>
      <c r="C22" s="299">
        <f>C23+C25</f>
        <v>100</v>
      </c>
      <c r="D22" s="62"/>
      <c r="E22" s="62"/>
      <c r="F22" s="304"/>
      <c r="G22" s="304"/>
      <c r="H22" s="305" t="s">
        <v>54</v>
      </c>
      <c r="I22" s="299">
        <v>50</v>
      </c>
    </row>
    <row r="23" spans="1:9" s="79" customFormat="1" x14ac:dyDescent="0.25">
      <c r="B23" s="299" t="s">
        <v>206</v>
      </c>
      <c r="C23" s="299">
        <f>C24+C25</f>
        <v>75</v>
      </c>
      <c r="D23" s="62"/>
      <c r="E23" s="62"/>
      <c r="F23" s="62"/>
      <c r="G23" s="62"/>
      <c r="H23" s="299" t="s">
        <v>2</v>
      </c>
      <c r="I23" s="299">
        <v>100</v>
      </c>
    </row>
    <row r="24" spans="1:9" s="79" customFormat="1" x14ac:dyDescent="0.25">
      <c r="B24" s="299" t="s">
        <v>45</v>
      </c>
      <c r="C24" s="299">
        <f>C25*2</f>
        <v>50</v>
      </c>
      <c r="D24" s="62"/>
      <c r="E24" s="62"/>
      <c r="F24" s="62"/>
      <c r="G24" s="62"/>
      <c r="H24" s="62"/>
      <c r="I24" s="62"/>
    </row>
    <row r="25" spans="1:9" s="79" customFormat="1" x14ac:dyDescent="0.25">
      <c r="B25" s="299" t="s">
        <v>207</v>
      </c>
      <c r="C25" s="299">
        <f>100/4</f>
        <v>25</v>
      </c>
      <c r="D25" s="62"/>
      <c r="E25" s="62"/>
      <c r="F25" s="62"/>
      <c r="G25" s="62"/>
      <c r="H25" s="301" t="s">
        <v>55</v>
      </c>
      <c r="I25" s="62"/>
    </row>
    <row r="26" spans="1:9" s="79" customFormat="1" x14ac:dyDescent="0.25">
      <c r="B26" s="62"/>
      <c r="C26" s="62"/>
      <c r="D26" s="62"/>
      <c r="E26" s="62"/>
      <c r="F26" s="62"/>
      <c r="G26" s="62"/>
      <c r="H26" s="304" t="s">
        <v>54</v>
      </c>
      <c r="I26" s="258">
        <v>50</v>
      </c>
    </row>
    <row r="27" spans="1:9" s="79" customFormat="1" x14ac:dyDescent="0.25">
      <c r="B27" s="62"/>
      <c r="C27" s="62"/>
      <c r="D27" s="62"/>
      <c r="E27" s="62"/>
      <c r="F27" s="62"/>
      <c r="G27" s="62"/>
      <c r="H27" s="304" t="s">
        <v>2</v>
      </c>
      <c r="I27" s="258">
        <v>100</v>
      </c>
    </row>
    <row r="28" spans="1:9" s="79" customFormat="1" x14ac:dyDescent="0.25">
      <c r="B28" s="301" t="s">
        <v>192</v>
      </c>
      <c r="C28" s="62"/>
      <c r="D28" s="62"/>
      <c r="E28" s="62"/>
      <c r="F28" s="62"/>
      <c r="G28" s="62"/>
      <c r="H28" s="62"/>
      <c r="I28" s="62"/>
    </row>
    <row r="29" spans="1:9" s="79" customFormat="1" x14ac:dyDescent="0.25">
      <c r="B29" s="304" t="s">
        <v>208</v>
      </c>
      <c r="C29" s="299">
        <f>100/5</f>
        <v>20</v>
      </c>
      <c r="D29" s="62"/>
      <c r="E29" s="62"/>
      <c r="F29" s="62"/>
      <c r="G29" s="62"/>
      <c r="H29" s="62"/>
      <c r="I29" s="62"/>
    </row>
    <row r="30" spans="1:9" s="79" customFormat="1" x14ac:dyDescent="0.25">
      <c r="B30" s="304" t="s">
        <v>209</v>
      </c>
      <c r="C30" s="299">
        <f>C29+C29</f>
        <v>40</v>
      </c>
      <c r="D30" s="304"/>
      <c r="E30" s="304"/>
      <c r="F30" s="62"/>
      <c r="G30" s="62"/>
      <c r="H30" s="62"/>
      <c r="I30" s="62"/>
    </row>
    <row r="31" spans="1:9" s="79" customFormat="1" x14ac:dyDescent="0.25">
      <c r="B31" s="304" t="s">
        <v>194</v>
      </c>
      <c r="C31" s="299">
        <f>C30+C29</f>
        <v>60</v>
      </c>
      <c r="D31" s="304"/>
      <c r="E31" s="304"/>
      <c r="F31" s="62"/>
      <c r="G31" s="62"/>
      <c r="H31" s="62"/>
      <c r="I31" s="62"/>
    </row>
    <row r="32" spans="1:9" s="79" customFormat="1" x14ac:dyDescent="0.25">
      <c r="B32" s="304" t="s">
        <v>210</v>
      </c>
      <c r="C32" s="299">
        <f>C31+C29</f>
        <v>80</v>
      </c>
      <c r="D32" s="304"/>
      <c r="E32" s="304"/>
      <c r="F32" s="62"/>
      <c r="G32" s="62"/>
      <c r="H32" s="62"/>
      <c r="I32" s="62"/>
    </row>
    <row r="33" spans="2:9" s="79" customFormat="1" x14ac:dyDescent="0.25">
      <c r="B33" s="304" t="s">
        <v>211</v>
      </c>
      <c r="C33" s="299">
        <f>C32+C29</f>
        <v>100</v>
      </c>
      <c r="D33" s="304"/>
      <c r="E33" s="304"/>
      <c r="F33" s="62"/>
      <c r="G33" s="62"/>
      <c r="H33" s="62"/>
      <c r="I33" s="62"/>
    </row>
    <row r="34" spans="2:9" s="79" customFormat="1" x14ac:dyDescent="0.25">
      <c r="B34" s="62"/>
      <c r="C34" s="62"/>
      <c r="D34" s="62"/>
      <c r="E34" s="62"/>
      <c r="F34" s="62"/>
      <c r="G34" s="62"/>
      <c r="H34" s="62"/>
      <c r="I34" s="62"/>
    </row>
  </sheetData>
  <dataValidations count="7">
    <dataValidation type="list" allowBlank="1" showInputMessage="1" showErrorMessage="1" sqref="B5:M5">
      <formula1>$B$15:$B$19</formula1>
    </dataValidation>
    <dataValidation type="list" allowBlank="1" showInputMessage="1" showErrorMessage="1" sqref="B6:M6">
      <formula1>$B$22:$B$25</formula1>
    </dataValidation>
    <dataValidation type="list" allowBlank="1" showInputMessage="1" showErrorMessage="1" sqref="B8:M8">
      <formula1>$B$29:$B$33</formula1>
    </dataValidation>
    <dataValidation type="list" allowBlank="1" showInputMessage="1" showErrorMessage="1" sqref="B9:M9">
      <formula1>$H$15:$H$17</formula1>
    </dataValidation>
    <dataValidation type="list" allowBlank="1" showInputMessage="1" showErrorMessage="1" sqref="B10:M10">
      <formula1>$H$22:$H$23</formula1>
    </dataValidation>
    <dataValidation type="list" allowBlank="1" showInputMessage="1" showErrorMessage="1" sqref="B11:M11">
      <formula1>$H$26:$H$27</formula1>
    </dataValidation>
    <dataValidation type="list" allowBlank="1" showInputMessage="1" showErrorMessage="1" sqref="B7:M7">
      <formula1>$E$15:$E$17</formula1>
    </dataValidation>
  </dataValidations>
  <pageMargins left="0.7" right="0.7" top="0.75" bottom="0.75" header="0.3" footer="0.3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AC85"/>
  <sheetViews>
    <sheetView topLeftCell="A25" workbookViewId="0">
      <selection activeCell="K28" sqref="K28"/>
    </sheetView>
  </sheetViews>
  <sheetFormatPr defaultColWidth="9.140625" defaultRowHeight="15" x14ac:dyDescent="0.25"/>
  <cols>
    <col min="1" max="1" width="2.28515625" style="1" customWidth="1"/>
    <col min="2" max="3" width="0.42578125" style="1" customWidth="1"/>
    <col min="4" max="4" width="18.140625" style="1" customWidth="1"/>
    <col min="5" max="5" width="14.42578125" style="1" customWidth="1"/>
    <col min="6" max="6" width="5.28515625" style="1" customWidth="1"/>
    <col min="7" max="7" width="21.85546875" style="1" customWidth="1"/>
    <col min="8" max="8" width="3.7109375" style="1" customWidth="1"/>
    <col min="9" max="9" width="9.140625" style="1" customWidth="1"/>
    <col min="10" max="10" width="5.5703125" style="1" customWidth="1"/>
    <col min="11" max="11" width="12.7109375" style="1" customWidth="1"/>
    <col min="12" max="12" width="3.85546875" style="1" customWidth="1"/>
    <col min="13" max="13" width="9.85546875" style="1" customWidth="1"/>
    <col min="14" max="14" width="6" style="1" customWidth="1"/>
    <col min="15" max="15" width="7.140625" style="1" customWidth="1"/>
    <col min="16" max="22" width="9.140625" style="1" customWidth="1"/>
    <col min="23" max="23" width="9.140625" style="20" customWidth="1"/>
    <col min="24" max="24" width="9.140625" style="21" customWidth="1"/>
    <col min="25" max="28" width="9.140625" style="1" customWidth="1"/>
    <col min="29" max="16384" width="9.140625" style="1"/>
  </cols>
  <sheetData>
    <row r="1" spans="1:24" ht="3" customHeight="1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4" ht="1.5" customHeight="1" thickBot="1" x14ac:dyDescent="0.3"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4" ht="15" customHeight="1" x14ac:dyDescent="0.25">
      <c r="A3" s="4"/>
      <c r="B3" s="423" t="s">
        <v>89</v>
      </c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5"/>
      <c r="N3" s="6"/>
      <c r="O3" s="429"/>
    </row>
    <row r="4" spans="1:24" ht="15" customHeight="1" x14ac:dyDescent="0.25">
      <c r="A4" s="4"/>
      <c r="B4" s="425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7"/>
      <c r="N4" s="8"/>
      <c r="O4" s="429"/>
    </row>
    <row r="5" spans="1:24" ht="21" customHeight="1" thickBot="1" x14ac:dyDescent="0.3">
      <c r="A5" s="4"/>
      <c r="B5" s="427"/>
      <c r="C5" s="428"/>
      <c r="D5" s="428"/>
      <c r="E5" s="428"/>
      <c r="F5" s="428"/>
      <c r="G5" s="428"/>
      <c r="H5" s="428"/>
      <c r="I5" s="428"/>
      <c r="J5" s="428"/>
      <c r="K5" s="428"/>
      <c r="L5" s="428"/>
      <c r="M5" s="9"/>
      <c r="N5" s="10"/>
      <c r="O5" s="429"/>
    </row>
    <row r="6" spans="1:24" s="65" customFormat="1" ht="3.75" customHeight="1" thickBot="1" x14ac:dyDescent="0.3">
      <c r="B6" s="161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W6" s="162"/>
      <c r="X6" s="163"/>
    </row>
    <row r="7" spans="1:24" ht="16.5" customHeight="1" thickTop="1" thickBot="1" x14ac:dyDescent="0.3">
      <c r="B7" s="420" t="s">
        <v>90</v>
      </c>
      <c r="C7" s="421"/>
      <c r="D7" s="421"/>
      <c r="E7" s="422"/>
      <c r="F7" s="430" t="s">
        <v>0</v>
      </c>
      <c r="G7" s="431"/>
      <c r="H7" s="431"/>
      <c r="I7" s="431"/>
      <c r="J7" s="431"/>
      <c r="K7" s="431"/>
      <c r="L7" s="431"/>
      <c r="M7" s="431"/>
      <c r="N7" s="432"/>
    </row>
    <row r="8" spans="1:24" s="65" customFormat="1" ht="1.5" customHeight="1" thickTop="1" thickBot="1" x14ac:dyDescent="0.3">
      <c r="B8" s="164"/>
      <c r="C8" s="165"/>
      <c r="D8" s="165"/>
      <c r="E8" s="165"/>
      <c r="F8" s="165"/>
      <c r="G8" s="166"/>
      <c r="H8" s="166"/>
      <c r="I8" s="166"/>
      <c r="J8" s="166"/>
      <c r="K8" s="166"/>
      <c r="L8" s="166"/>
      <c r="M8" s="166"/>
      <c r="N8" s="166"/>
      <c r="W8" s="162"/>
      <c r="X8" s="163"/>
    </row>
    <row r="9" spans="1:24" ht="15.75" thickTop="1" x14ac:dyDescent="0.25">
      <c r="B9" s="172" t="s">
        <v>1</v>
      </c>
      <c r="C9" s="167"/>
      <c r="D9" s="167"/>
      <c r="E9" s="168"/>
      <c r="F9" s="430"/>
      <c r="G9" s="431"/>
      <c r="H9" s="431"/>
      <c r="I9" s="431"/>
      <c r="J9" s="431"/>
      <c r="K9" s="431"/>
      <c r="L9" s="431"/>
      <c r="M9" s="431"/>
      <c r="N9" s="432"/>
    </row>
    <row r="10" spans="1:24" ht="15.75" thickBot="1" x14ac:dyDescent="0.3">
      <c r="B10" s="169"/>
      <c r="C10" s="170"/>
      <c r="D10" s="170"/>
      <c r="E10" s="171"/>
      <c r="F10" s="433"/>
      <c r="G10" s="433"/>
      <c r="H10" s="433"/>
      <c r="I10" s="433"/>
      <c r="J10" s="433"/>
      <c r="K10" s="433"/>
      <c r="L10" s="433"/>
      <c r="M10" s="433"/>
      <c r="N10" s="434"/>
    </row>
    <row r="11" spans="1:24" ht="1.5" customHeight="1" thickTop="1" thickBot="1" x14ac:dyDescent="0.3">
      <c r="B11" s="158"/>
      <c r="C11" s="158"/>
      <c r="D11" s="158"/>
      <c r="E11" s="158"/>
      <c r="F11" s="155"/>
      <c r="G11" s="155"/>
      <c r="H11" s="155"/>
      <c r="I11" s="155"/>
      <c r="J11" s="155"/>
      <c r="K11" s="155"/>
      <c r="L11" s="155"/>
      <c r="M11" s="155"/>
      <c r="N11" s="155"/>
    </row>
    <row r="12" spans="1:24" ht="16.5" thickTop="1" thickBot="1" x14ac:dyDescent="0.3">
      <c r="B12" s="420" t="s">
        <v>91</v>
      </c>
      <c r="C12" s="421"/>
      <c r="D12" s="421"/>
      <c r="E12" s="422"/>
      <c r="F12" s="435"/>
      <c r="G12" s="435"/>
      <c r="H12" s="435"/>
      <c r="I12" s="435"/>
      <c r="J12" s="435"/>
      <c r="K12" s="435"/>
      <c r="L12" s="435"/>
      <c r="M12" s="435"/>
      <c r="N12" s="436"/>
    </row>
    <row r="13" spans="1:24" ht="1.5" customHeight="1" thickTop="1" thickBot="1" x14ac:dyDescent="0.3">
      <c r="B13" s="159"/>
      <c r="C13" s="160"/>
      <c r="D13" s="160"/>
      <c r="E13" s="160"/>
      <c r="F13" s="156"/>
      <c r="G13" s="156"/>
      <c r="H13" s="156"/>
      <c r="I13" s="156"/>
      <c r="J13" s="156"/>
      <c r="K13" s="156"/>
      <c r="L13" s="156"/>
      <c r="M13" s="156"/>
      <c r="N13" s="157"/>
    </row>
    <row r="14" spans="1:24" ht="18" customHeight="1" thickTop="1" thickBot="1" x14ac:dyDescent="0.3">
      <c r="B14" s="420" t="s">
        <v>3</v>
      </c>
      <c r="C14" s="421"/>
      <c r="D14" s="421"/>
      <c r="E14" s="422"/>
      <c r="F14" s="437">
        <v>40451</v>
      </c>
      <c r="G14" s="437"/>
      <c r="H14" s="437"/>
      <c r="I14" s="437"/>
      <c r="J14" s="437"/>
      <c r="K14" s="437"/>
      <c r="L14" s="437"/>
      <c r="M14" s="437"/>
      <c r="N14" s="438"/>
    </row>
    <row r="15" spans="1:24" ht="4.5" customHeight="1" thickTop="1" x14ac:dyDescent="0.25">
      <c r="B15" s="11"/>
      <c r="C15" s="11"/>
      <c r="D15" s="11"/>
      <c r="E15" s="12"/>
      <c r="F15" s="12"/>
      <c r="G15" s="11"/>
      <c r="H15" s="11"/>
      <c r="I15" s="11"/>
      <c r="J15" s="11"/>
      <c r="K15" s="11"/>
      <c r="L15" s="11"/>
      <c r="M15" s="11"/>
      <c r="N15" s="11"/>
    </row>
    <row r="16" spans="1:24" ht="2.25" customHeight="1" thickBot="1" x14ac:dyDescent="0.3"/>
    <row r="17" spans="2:16" ht="20.25" thickTop="1" thickBot="1" x14ac:dyDescent="0.3">
      <c r="B17" s="413" t="s">
        <v>4</v>
      </c>
      <c r="C17" s="414"/>
      <c r="D17" s="414"/>
      <c r="E17" s="414"/>
      <c r="F17" s="414"/>
      <c r="G17" s="414"/>
      <c r="H17" s="414"/>
      <c r="I17" s="414"/>
      <c r="J17" s="414"/>
      <c r="K17" s="414"/>
      <c r="L17" s="414"/>
      <c r="M17" s="414"/>
      <c r="N17" s="415"/>
      <c r="O17" s="13"/>
      <c r="P17" s="174" t="s">
        <v>83</v>
      </c>
    </row>
    <row r="18" spans="2:16" ht="2.25" customHeight="1" thickTop="1" x14ac:dyDescent="0.25"/>
    <row r="19" spans="2:16" x14ac:dyDescent="0.25">
      <c r="B19" s="404" t="s">
        <v>5</v>
      </c>
      <c r="C19" s="404"/>
      <c r="D19" s="404"/>
      <c r="E19" s="404"/>
      <c r="F19" s="52"/>
      <c r="G19" s="405"/>
      <c r="H19" s="405"/>
      <c r="I19" s="405"/>
      <c r="J19" s="406"/>
      <c r="K19" s="405"/>
      <c r="L19" s="405"/>
      <c r="M19" s="405"/>
      <c r="N19" s="416"/>
      <c r="O19" s="13"/>
      <c r="P19" s="173">
        <f>'Parameter utama_olah'!C15</f>
        <v>0.25289763999441423</v>
      </c>
    </row>
    <row r="20" spans="2:16" ht="2.25" customHeight="1" x14ac:dyDescent="0.25"/>
    <row r="21" spans="2:16" ht="21.75" thickBot="1" x14ac:dyDescent="0.3">
      <c r="B21" s="392" t="s">
        <v>6</v>
      </c>
      <c r="C21" s="392"/>
      <c r="D21" s="392"/>
      <c r="E21" s="392"/>
      <c r="F21" s="53"/>
      <c r="G21" s="398"/>
      <c r="H21" s="398"/>
      <c r="I21" s="398"/>
      <c r="J21" s="399"/>
      <c r="K21" s="417"/>
      <c r="L21" s="418"/>
      <c r="M21" s="418"/>
      <c r="N21" s="419"/>
    </row>
    <row r="22" spans="2:16" ht="24" customHeight="1" x14ac:dyDescent="0.25">
      <c r="B22" s="367" t="s">
        <v>7</v>
      </c>
      <c r="C22" s="368"/>
      <c r="D22" s="368"/>
      <c r="E22" s="369"/>
      <c r="F22" s="57">
        <v>1</v>
      </c>
      <c r="G22" s="397">
        <v>0.14530000000000001</v>
      </c>
      <c r="H22" s="361"/>
      <c r="I22" s="361"/>
      <c r="J22" s="362"/>
      <c r="K22" s="14"/>
      <c r="L22" s="15"/>
      <c r="M22" s="16"/>
      <c r="N22" s="17"/>
    </row>
    <row r="23" spans="2:16" ht="24.75" customHeight="1" x14ac:dyDescent="0.25">
      <c r="B23" s="396" t="s">
        <v>8</v>
      </c>
      <c r="C23" s="412"/>
      <c r="D23" s="412"/>
      <c r="E23" s="412"/>
      <c r="F23" s="58">
        <v>2</v>
      </c>
      <c r="G23" s="397">
        <v>3.5299999999999998E-2</v>
      </c>
      <c r="H23" s="361"/>
      <c r="I23" s="361"/>
      <c r="J23" s="362"/>
      <c r="K23" s="18"/>
      <c r="L23" s="11"/>
      <c r="M23" s="11"/>
      <c r="N23" s="19"/>
    </row>
    <row r="24" spans="2:16" x14ac:dyDescent="0.25">
      <c r="B24" s="396" t="s">
        <v>9</v>
      </c>
      <c r="C24" s="396"/>
      <c r="D24" s="396"/>
      <c r="E24" s="396"/>
      <c r="F24" s="59">
        <v>3</v>
      </c>
      <c r="G24" s="395">
        <v>1.72E-2</v>
      </c>
      <c r="H24" s="370"/>
      <c r="I24" s="370"/>
      <c r="J24" s="371"/>
      <c r="K24" s="18"/>
      <c r="L24" s="11"/>
      <c r="M24" s="11"/>
      <c r="N24" s="19"/>
    </row>
    <row r="25" spans="2:16" x14ac:dyDescent="0.25">
      <c r="B25" s="403" t="s">
        <v>10</v>
      </c>
      <c r="C25" s="403"/>
      <c r="D25" s="403"/>
      <c r="E25" s="403"/>
      <c r="F25" s="57">
        <v>4</v>
      </c>
      <c r="G25" s="395">
        <v>1.1014999999999999</v>
      </c>
      <c r="H25" s="370"/>
      <c r="I25" s="370"/>
      <c r="J25" s="371"/>
      <c r="K25" s="18"/>
      <c r="L25" s="11"/>
      <c r="M25" s="11"/>
      <c r="N25" s="19"/>
    </row>
    <row r="26" spans="2:16" x14ac:dyDescent="0.25">
      <c r="B26" s="396" t="s">
        <v>11</v>
      </c>
      <c r="C26" s="396"/>
      <c r="D26" s="396"/>
      <c r="E26" s="396"/>
      <c r="F26" s="58">
        <v>5</v>
      </c>
      <c r="G26" s="395">
        <v>4.2000000000000003E-2</v>
      </c>
      <c r="H26" s="370"/>
      <c r="I26" s="370"/>
      <c r="J26" s="371"/>
      <c r="K26" s="18"/>
      <c r="L26" s="11"/>
      <c r="M26" s="11"/>
      <c r="N26" s="19"/>
    </row>
    <row r="27" spans="2:16" x14ac:dyDescent="0.25">
      <c r="B27" s="396" t="s">
        <v>12</v>
      </c>
      <c r="C27" s="396"/>
      <c r="D27" s="396"/>
      <c r="E27" s="396"/>
      <c r="F27" s="59">
        <v>6</v>
      </c>
      <c r="G27" s="395">
        <v>3.3599999999999998E-2</v>
      </c>
      <c r="H27" s="370"/>
      <c r="I27" s="370"/>
      <c r="J27" s="371"/>
      <c r="K27" s="18"/>
      <c r="L27" s="11"/>
      <c r="M27" s="11"/>
      <c r="N27" s="19"/>
    </row>
    <row r="28" spans="2:16" x14ac:dyDescent="0.25">
      <c r="B28" s="396" t="s">
        <v>13</v>
      </c>
      <c r="C28" s="396"/>
      <c r="D28" s="396"/>
      <c r="E28" s="396"/>
      <c r="F28" s="57">
        <v>7</v>
      </c>
      <c r="G28" s="395">
        <v>8.0999999999999996E-3</v>
      </c>
      <c r="H28" s="370"/>
      <c r="I28" s="370"/>
      <c r="J28" s="371"/>
      <c r="K28" s="18"/>
      <c r="L28" s="11"/>
      <c r="M28" s="11"/>
      <c r="N28" s="19"/>
    </row>
    <row r="29" spans="2:16" x14ac:dyDescent="0.25">
      <c r="B29" s="396" t="s">
        <v>14</v>
      </c>
      <c r="C29" s="396"/>
      <c r="D29" s="396"/>
      <c r="E29" s="396"/>
      <c r="F29" s="58">
        <v>8</v>
      </c>
      <c r="G29" s="395">
        <v>0.1154</v>
      </c>
      <c r="H29" s="370"/>
      <c r="I29" s="370"/>
      <c r="J29" s="371"/>
      <c r="K29" s="18"/>
      <c r="L29" s="11"/>
      <c r="M29" s="11"/>
      <c r="N29" s="19"/>
    </row>
    <row r="30" spans="2:16" x14ac:dyDescent="0.25">
      <c r="B30" s="396" t="s">
        <v>15</v>
      </c>
      <c r="C30" s="396"/>
      <c r="D30" s="396"/>
      <c r="E30" s="396"/>
      <c r="F30" s="59">
        <v>9</v>
      </c>
      <c r="G30" s="395">
        <v>6.4399999999999999E-2</v>
      </c>
      <c r="H30" s="370"/>
      <c r="I30" s="370"/>
      <c r="J30" s="371"/>
      <c r="K30" s="18"/>
      <c r="L30" s="11"/>
      <c r="M30" s="11"/>
      <c r="N30" s="19"/>
    </row>
    <row r="31" spans="2:16" ht="27" customHeight="1" x14ac:dyDescent="0.25">
      <c r="B31" s="396" t="s">
        <v>16</v>
      </c>
      <c r="C31" s="396"/>
      <c r="D31" s="396"/>
      <c r="E31" s="396"/>
      <c r="F31" s="57">
        <v>10</v>
      </c>
      <c r="G31" s="395">
        <v>0.89329999999999998</v>
      </c>
      <c r="H31" s="370"/>
      <c r="I31" s="370"/>
      <c r="J31" s="371"/>
      <c r="K31" s="18"/>
      <c r="L31" s="11"/>
      <c r="M31" s="11"/>
      <c r="N31" s="19"/>
    </row>
    <row r="32" spans="2:16" x14ac:dyDescent="0.25">
      <c r="B32" s="403" t="s">
        <v>17</v>
      </c>
      <c r="C32" s="403"/>
      <c r="D32" s="403"/>
      <c r="E32" s="403"/>
      <c r="F32" s="58">
        <v>11</v>
      </c>
      <c r="G32" s="410">
        <v>1.2</v>
      </c>
      <c r="H32" s="410"/>
      <c r="I32" s="410"/>
      <c r="J32" s="411"/>
      <c r="K32" s="18"/>
      <c r="L32" s="11"/>
      <c r="M32" s="11"/>
      <c r="N32" s="19"/>
    </row>
    <row r="33" spans="2:26" x14ac:dyDescent="0.25">
      <c r="B33" s="403" t="s">
        <v>18</v>
      </c>
      <c r="C33" s="403"/>
      <c r="D33" s="403"/>
      <c r="E33" s="403"/>
      <c r="F33" s="59">
        <v>12</v>
      </c>
      <c r="G33" s="387">
        <v>-0.6191675386850346</v>
      </c>
      <c r="H33" s="387"/>
      <c r="I33" s="387"/>
      <c r="J33" s="388"/>
      <c r="K33" s="18"/>
      <c r="L33" s="11"/>
      <c r="M33" s="11"/>
      <c r="N33" s="19"/>
    </row>
    <row r="34" spans="2:26" x14ac:dyDescent="0.25">
      <c r="B34" s="396" t="s">
        <v>19</v>
      </c>
      <c r="C34" s="396"/>
      <c r="D34" s="396"/>
      <c r="E34" s="396"/>
      <c r="F34" s="57">
        <v>13</v>
      </c>
      <c r="G34" s="395">
        <v>0.23480000000000001</v>
      </c>
      <c r="H34" s="370"/>
      <c r="I34" s="370"/>
      <c r="J34" s="371"/>
      <c r="K34" s="18"/>
      <c r="L34" s="11"/>
      <c r="M34" s="11"/>
      <c r="N34" s="19"/>
    </row>
    <row r="35" spans="2:26" x14ac:dyDescent="0.25">
      <c r="B35" s="396" t="s">
        <v>20</v>
      </c>
      <c r="C35" s="396"/>
      <c r="D35" s="396"/>
      <c r="E35" s="396"/>
      <c r="F35" s="58">
        <v>14</v>
      </c>
      <c r="G35" s="407">
        <v>1.5800000000000002E-2</v>
      </c>
      <c r="H35" s="408"/>
      <c r="I35" s="408"/>
      <c r="J35" s="409"/>
      <c r="K35" s="18"/>
      <c r="L35" s="11"/>
      <c r="M35" s="11"/>
      <c r="N35" s="19"/>
    </row>
    <row r="36" spans="2:26" x14ac:dyDescent="0.25">
      <c r="B36" s="396" t="s">
        <v>21</v>
      </c>
      <c r="C36" s="396"/>
      <c r="D36" s="396"/>
      <c r="E36" s="396"/>
      <c r="F36" s="59">
        <v>15</v>
      </c>
      <c r="G36" s="407">
        <v>0.31140000000000001</v>
      </c>
      <c r="H36" s="408"/>
      <c r="I36" s="408"/>
      <c r="J36" s="409"/>
      <c r="K36" s="18"/>
      <c r="L36" s="11"/>
      <c r="M36" s="11"/>
      <c r="N36" s="19"/>
    </row>
    <row r="37" spans="2:26" x14ac:dyDescent="0.25">
      <c r="B37" s="403" t="s">
        <v>22</v>
      </c>
      <c r="C37" s="403"/>
      <c r="D37" s="403"/>
      <c r="E37" s="403"/>
      <c r="F37" s="57">
        <v>16</v>
      </c>
      <c r="G37" s="395">
        <v>5.21E-2</v>
      </c>
      <c r="H37" s="370"/>
      <c r="I37" s="370"/>
      <c r="J37" s="371"/>
      <c r="K37" s="18"/>
      <c r="L37" s="11"/>
      <c r="M37" s="11"/>
      <c r="N37" s="19"/>
    </row>
    <row r="38" spans="2:26" x14ac:dyDescent="0.25">
      <c r="B38" s="403" t="s">
        <v>23</v>
      </c>
      <c r="C38" s="403"/>
      <c r="D38" s="403"/>
      <c r="E38" s="403"/>
      <c r="F38" s="58">
        <v>17</v>
      </c>
      <c r="G38" s="395">
        <v>3.8300000000000001E-2</v>
      </c>
      <c r="H38" s="370"/>
      <c r="I38" s="370"/>
      <c r="J38" s="371"/>
      <c r="K38" s="22"/>
      <c r="L38" s="23"/>
      <c r="M38" s="23"/>
      <c r="N38" s="24"/>
      <c r="Z38" s="25"/>
    </row>
    <row r="39" spans="2:26" ht="2.25" customHeight="1" x14ac:dyDescent="0.25"/>
    <row r="40" spans="2:26" ht="15.75" thickBot="1" x14ac:dyDescent="0.3">
      <c r="B40" s="404" t="s">
        <v>24</v>
      </c>
      <c r="C40" s="404"/>
      <c r="D40" s="404"/>
      <c r="E40" s="404"/>
      <c r="F40" s="52"/>
      <c r="G40" s="405"/>
      <c r="H40" s="405"/>
      <c r="I40" s="405"/>
      <c r="J40" s="406"/>
      <c r="K40" s="400"/>
      <c r="L40" s="401"/>
      <c r="M40" s="401"/>
      <c r="N40" s="402"/>
      <c r="O40" s="13"/>
      <c r="P40" s="173">
        <f>'Parameter utama_olah'!C16</f>
        <v>0.65842759391146488</v>
      </c>
    </row>
    <row r="41" spans="2:26" ht="2.25" customHeight="1" x14ac:dyDescent="0.25"/>
    <row r="42" spans="2:26" x14ac:dyDescent="0.25">
      <c r="B42" s="392" t="s">
        <v>25</v>
      </c>
      <c r="C42" s="392"/>
      <c r="D42" s="392"/>
      <c r="E42" s="392"/>
      <c r="F42" s="53"/>
      <c r="G42" s="398"/>
      <c r="H42" s="398"/>
      <c r="I42" s="398"/>
      <c r="J42" s="399"/>
      <c r="K42" s="376"/>
      <c r="L42" s="376"/>
      <c r="M42" s="376"/>
      <c r="N42" s="377"/>
    </row>
    <row r="43" spans="2:26" ht="24.75" customHeight="1" x14ac:dyDescent="0.25">
      <c r="B43" s="367" t="s">
        <v>26</v>
      </c>
      <c r="C43" s="368"/>
      <c r="D43" s="368"/>
      <c r="E43" s="369"/>
      <c r="F43" s="54"/>
      <c r="G43" s="397">
        <v>0.58975506466931593</v>
      </c>
      <c r="H43" s="361"/>
      <c r="I43" s="361"/>
      <c r="J43" s="362"/>
      <c r="K43" s="376"/>
      <c r="L43" s="376"/>
      <c r="M43" s="376"/>
      <c r="N43" s="377"/>
      <c r="R43" s="20"/>
    </row>
    <row r="44" spans="2:26" ht="24.75" customHeight="1" x14ac:dyDescent="0.25">
      <c r="B44" s="396" t="s">
        <v>27</v>
      </c>
      <c r="C44" s="396"/>
      <c r="D44" s="396"/>
      <c r="E44" s="396"/>
      <c r="F44" s="55"/>
      <c r="G44" s="397">
        <v>0.34288354898336398</v>
      </c>
      <c r="H44" s="361"/>
      <c r="I44" s="361"/>
      <c r="J44" s="362"/>
      <c r="K44" s="376"/>
      <c r="L44" s="376"/>
      <c r="M44" s="376"/>
      <c r="N44" s="377"/>
    </row>
    <row r="45" spans="2:26" x14ac:dyDescent="0.25">
      <c r="B45" s="392" t="s">
        <v>28</v>
      </c>
      <c r="C45" s="392"/>
      <c r="D45" s="392"/>
      <c r="E45" s="392"/>
      <c r="F45" s="53"/>
      <c r="G45" s="398"/>
      <c r="H45" s="398"/>
      <c r="I45" s="398"/>
      <c r="J45" s="399"/>
      <c r="K45" s="376"/>
      <c r="L45" s="376"/>
      <c r="M45" s="376"/>
      <c r="N45" s="377"/>
    </row>
    <row r="46" spans="2:26" x14ac:dyDescent="0.25">
      <c r="B46" s="367" t="s">
        <v>29</v>
      </c>
      <c r="C46" s="368"/>
      <c r="D46" s="368"/>
      <c r="E46" s="369"/>
      <c r="F46" s="56"/>
      <c r="G46" s="395">
        <v>0.52830188679245282</v>
      </c>
      <c r="H46" s="370"/>
      <c r="I46" s="370"/>
      <c r="J46" s="371"/>
      <c r="K46" s="376"/>
      <c r="L46" s="376"/>
      <c r="M46" s="376"/>
      <c r="N46" s="377"/>
    </row>
    <row r="47" spans="2:26" x14ac:dyDescent="0.25">
      <c r="B47" s="367" t="s">
        <v>30</v>
      </c>
      <c r="C47" s="368"/>
      <c r="D47" s="368"/>
      <c r="E47" s="369"/>
      <c r="F47" s="56"/>
      <c r="G47" s="395">
        <v>0.35924617196701991</v>
      </c>
      <c r="H47" s="370"/>
      <c r="I47" s="370"/>
      <c r="J47" s="371"/>
      <c r="K47" s="376"/>
      <c r="L47" s="376"/>
      <c r="M47" s="376"/>
      <c r="N47" s="377"/>
    </row>
    <row r="48" spans="2:26" ht="15" customHeight="1" x14ac:dyDescent="0.25">
      <c r="B48" s="367" t="s">
        <v>31</v>
      </c>
      <c r="C48" s="368"/>
      <c r="D48" s="368"/>
      <c r="E48" s="369"/>
      <c r="F48" s="56"/>
      <c r="G48" s="387">
        <v>5.7471264367816181E-2</v>
      </c>
      <c r="H48" s="387"/>
      <c r="I48" s="387"/>
      <c r="J48" s="388"/>
      <c r="K48" s="376"/>
      <c r="L48" s="376"/>
      <c r="M48" s="376"/>
      <c r="N48" s="377"/>
    </row>
    <row r="49" spans="2:29" ht="24.75" customHeight="1" x14ac:dyDescent="0.25">
      <c r="B49" s="367" t="s">
        <v>32</v>
      </c>
      <c r="C49" s="368"/>
      <c r="D49" s="368"/>
      <c r="E49" s="369"/>
      <c r="F49" s="54"/>
      <c r="G49" s="389">
        <v>-6.665970118064983E-2</v>
      </c>
      <c r="H49" s="390"/>
      <c r="I49" s="390"/>
      <c r="J49" s="391"/>
      <c r="K49" s="376"/>
      <c r="L49" s="376"/>
      <c r="M49" s="376"/>
      <c r="N49" s="377"/>
    </row>
    <row r="50" spans="2:29" ht="13.5" customHeight="1" x14ac:dyDescent="0.25">
      <c r="B50" s="392" t="s">
        <v>33</v>
      </c>
      <c r="C50" s="392"/>
      <c r="D50" s="392"/>
      <c r="E50" s="392"/>
      <c r="F50" s="53"/>
      <c r="G50" s="393"/>
      <c r="H50" s="393"/>
      <c r="I50" s="393"/>
      <c r="J50" s="394"/>
      <c r="K50" s="376"/>
      <c r="L50" s="376"/>
      <c r="M50" s="376"/>
      <c r="N50" s="377"/>
    </row>
    <row r="51" spans="2:29" ht="23.25" customHeight="1" x14ac:dyDescent="0.25">
      <c r="B51" s="367" t="s">
        <v>34</v>
      </c>
      <c r="C51" s="368"/>
      <c r="D51" s="368"/>
      <c r="E51" s="369"/>
      <c r="F51" s="54"/>
      <c r="G51" s="389">
        <v>-0.54743589743589738</v>
      </c>
      <c r="H51" s="390"/>
      <c r="I51" s="390"/>
      <c r="J51" s="391"/>
      <c r="K51" s="376"/>
      <c r="L51" s="376"/>
      <c r="M51" s="376"/>
      <c r="N51" s="377"/>
    </row>
    <row r="52" spans="2:29" ht="15" customHeight="1" x14ac:dyDescent="0.25">
      <c r="B52" s="367" t="s">
        <v>35</v>
      </c>
      <c r="C52" s="368"/>
      <c r="D52" s="368"/>
      <c r="E52" s="369"/>
      <c r="F52" s="56"/>
      <c r="G52" s="387">
        <v>-0.52595936794582387</v>
      </c>
      <c r="H52" s="387"/>
      <c r="I52" s="387"/>
      <c r="J52" s="388"/>
      <c r="K52" s="376"/>
      <c r="L52" s="376"/>
      <c r="M52" s="376"/>
      <c r="N52" s="377"/>
    </row>
    <row r="53" spans="2:29" ht="13.5" customHeight="1" x14ac:dyDescent="0.25">
      <c r="B53" s="392" t="s">
        <v>36</v>
      </c>
      <c r="C53" s="392"/>
      <c r="D53" s="392"/>
      <c r="E53" s="392"/>
      <c r="F53" s="53"/>
      <c r="G53" s="393"/>
      <c r="H53" s="393"/>
      <c r="I53" s="393"/>
      <c r="J53" s="394"/>
      <c r="K53" s="376"/>
      <c r="L53" s="376"/>
      <c r="M53" s="376"/>
      <c r="N53" s="377"/>
    </row>
    <row r="54" spans="2:29" x14ac:dyDescent="0.25">
      <c r="B54" s="339" t="s">
        <v>37</v>
      </c>
      <c r="C54" s="340"/>
      <c r="D54" s="340"/>
      <c r="E54" s="341"/>
      <c r="F54" s="54"/>
      <c r="G54" s="389">
        <v>-9.0627420604182801E-2</v>
      </c>
      <c r="H54" s="390"/>
      <c r="I54" s="390"/>
      <c r="J54" s="391"/>
      <c r="K54" s="376"/>
      <c r="L54" s="376"/>
      <c r="M54" s="376"/>
      <c r="N54" s="377"/>
    </row>
    <row r="55" spans="2:29" ht="27.75" customHeight="1" x14ac:dyDescent="0.25">
      <c r="B55" s="339" t="s">
        <v>38</v>
      </c>
      <c r="C55" s="340"/>
      <c r="D55" s="340"/>
      <c r="E55" s="341"/>
      <c r="F55" s="56"/>
      <c r="G55" s="387">
        <v>-0.78085991678224687</v>
      </c>
      <c r="H55" s="387"/>
      <c r="I55" s="387"/>
      <c r="J55" s="388"/>
      <c r="K55" s="376"/>
      <c r="L55" s="376"/>
      <c r="M55" s="376"/>
      <c r="N55" s="377"/>
    </row>
    <row r="56" spans="2:29" ht="25.5" customHeight="1" x14ac:dyDescent="0.25">
      <c r="B56" s="367" t="s">
        <v>39</v>
      </c>
      <c r="C56" s="368"/>
      <c r="D56" s="368"/>
      <c r="E56" s="369"/>
      <c r="F56" s="56"/>
      <c r="G56" s="387">
        <v>-0.14871514488791684</v>
      </c>
      <c r="H56" s="387"/>
      <c r="I56" s="387"/>
      <c r="J56" s="388"/>
      <c r="K56" s="376"/>
      <c r="L56" s="376"/>
      <c r="M56" s="376"/>
      <c r="N56" s="377"/>
    </row>
    <row r="57" spans="2:29" ht="3" customHeight="1" thickBot="1" x14ac:dyDescent="0.3"/>
    <row r="58" spans="2:29" ht="20.25" thickTop="1" thickBot="1" x14ac:dyDescent="0.35">
      <c r="B58" s="26" t="s">
        <v>40</v>
      </c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8"/>
      <c r="O58" s="13">
        <v>0.2</v>
      </c>
      <c r="P58" s="173">
        <f>'Parameter utama_olah'!C17</f>
        <v>8.8674766094120949E-2</v>
      </c>
      <c r="R58" s="29"/>
      <c r="W58" s="30" t="s">
        <v>41</v>
      </c>
    </row>
    <row r="59" spans="2:29" ht="2.25" customHeight="1" thickTop="1" x14ac:dyDescent="0.25">
      <c r="W59" s="31"/>
    </row>
    <row r="60" spans="2:29" x14ac:dyDescent="0.25">
      <c r="B60" s="367" t="s">
        <v>42</v>
      </c>
      <c r="C60" s="368"/>
      <c r="D60" s="368"/>
      <c r="E60" s="369"/>
      <c r="F60" s="56"/>
      <c r="G60" s="370" t="s">
        <v>43</v>
      </c>
      <c r="H60" s="370"/>
      <c r="I60" s="370"/>
      <c r="J60" s="371"/>
      <c r="K60" s="376"/>
      <c r="L60" s="376"/>
      <c r="M60" s="376"/>
      <c r="N60" s="377"/>
      <c r="O60" s="32">
        <f>VLOOKUP(G60,[3]Counterparty!$C$2:$E$7,3,FALSE)</f>
        <v>3</v>
      </c>
      <c r="P60" s="33" t="str">
        <f>G60</f>
        <v>10 - 15 TAHUN</v>
      </c>
      <c r="Q60" s="33"/>
      <c r="R60" s="33">
        <v>5</v>
      </c>
      <c r="S60" s="34">
        <v>4</v>
      </c>
      <c r="T60" s="34">
        <v>3</v>
      </c>
      <c r="U60" s="34">
        <v>2</v>
      </c>
      <c r="V60" s="34">
        <v>3</v>
      </c>
      <c r="W60" s="35">
        <f t="shared" ref="W60:W66" si="0">V60/$V$68</f>
        <v>0.1111111111111111</v>
      </c>
      <c r="X60" s="36">
        <f t="shared" ref="X60:X66" si="1">W60*O60</f>
        <v>0.33333333333333331</v>
      </c>
      <c r="Y60" s="37">
        <v>0.1</v>
      </c>
      <c r="AA60" s="1">
        <v>11</v>
      </c>
      <c r="AC60" s="1">
        <v>11.11</v>
      </c>
    </row>
    <row r="61" spans="2:29" ht="15.75" customHeight="1" x14ac:dyDescent="0.25">
      <c r="B61" s="367" t="s">
        <v>44</v>
      </c>
      <c r="C61" s="368"/>
      <c r="D61" s="368"/>
      <c r="E61" s="369"/>
      <c r="F61" s="56"/>
      <c r="G61" s="370" t="s">
        <v>45</v>
      </c>
      <c r="H61" s="370"/>
      <c r="I61" s="370"/>
      <c r="J61" s="371"/>
      <c r="K61" s="376"/>
      <c r="L61" s="376"/>
      <c r="M61" s="376"/>
      <c r="N61" s="377"/>
      <c r="O61" s="38">
        <f>VLOOKUP($G$61,KPML,3,FALSE)</f>
        <v>2</v>
      </c>
      <c r="P61" s="33" t="str">
        <f>G61</f>
        <v>Asing</v>
      </c>
      <c r="Q61" s="33"/>
      <c r="R61" s="34"/>
      <c r="S61" s="34"/>
      <c r="T61" s="34"/>
      <c r="U61" s="34"/>
      <c r="V61" s="34">
        <v>4</v>
      </c>
      <c r="W61" s="35">
        <f t="shared" si="0"/>
        <v>0.14814814814814814</v>
      </c>
      <c r="X61" s="36">
        <f t="shared" si="1"/>
        <v>0.29629629629629628</v>
      </c>
      <c r="Y61" s="37"/>
      <c r="AA61" s="1">
        <v>15</v>
      </c>
      <c r="AC61" s="1">
        <v>14.81</v>
      </c>
    </row>
    <row r="62" spans="2:29" ht="24" customHeight="1" x14ac:dyDescent="0.25">
      <c r="B62" s="367" t="s">
        <v>46</v>
      </c>
      <c r="C62" s="368"/>
      <c r="D62" s="368"/>
      <c r="E62" s="369"/>
      <c r="F62" s="54"/>
      <c r="G62" s="360" t="s">
        <v>47</v>
      </c>
      <c r="H62" s="361"/>
      <c r="I62" s="361"/>
      <c r="J62" s="362"/>
      <c r="K62" s="376"/>
      <c r="L62" s="376"/>
      <c r="M62" s="376"/>
      <c r="N62" s="377"/>
      <c r="O62" s="38">
        <f>VLOOKUP($G$62,[3]Counterparty!$K$26:$M$28,3,FALSE)</f>
        <v>5</v>
      </c>
      <c r="P62" s="33" t="str">
        <f>G62</f>
        <v>Tidak Pernah</v>
      </c>
      <c r="Q62" s="33"/>
      <c r="R62" s="34">
        <v>5</v>
      </c>
      <c r="S62" s="34"/>
      <c r="T62" s="34">
        <v>3</v>
      </c>
      <c r="U62" s="34"/>
      <c r="V62" s="34">
        <v>3</v>
      </c>
      <c r="W62" s="35">
        <f t="shared" si="0"/>
        <v>0.1111111111111111</v>
      </c>
      <c r="X62" s="36">
        <f>W62*O62</f>
        <v>0.55555555555555558</v>
      </c>
      <c r="Y62" s="37">
        <v>0.83333333333333326</v>
      </c>
      <c r="AA62" s="1">
        <v>11</v>
      </c>
      <c r="AC62" s="1">
        <v>11.11</v>
      </c>
    </row>
    <row r="63" spans="2:29" ht="24.75" customHeight="1" x14ac:dyDescent="0.25">
      <c r="B63" s="367" t="s">
        <v>48</v>
      </c>
      <c r="C63" s="368"/>
      <c r="D63" s="368"/>
      <c r="E63" s="369"/>
      <c r="F63" s="54"/>
      <c r="G63" s="378" t="s">
        <v>49</v>
      </c>
      <c r="H63" s="379"/>
      <c r="I63" s="379"/>
      <c r="J63" s="380"/>
      <c r="K63" s="381" t="s">
        <v>50</v>
      </c>
      <c r="L63" s="382"/>
      <c r="M63" s="382"/>
      <c r="N63" s="383"/>
      <c r="O63" s="38">
        <f>VLOOKUP(P63,[3]Counterparty!K48:$L$52,2,FALSE)</f>
        <v>4</v>
      </c>
      <c r="P63" s="33" t="str">
        <f>G63</f>
        <v>Dikelola oleh orang yang mempunyai pengalaman di bidang yang sama selama 6-10 tahun</v>
      </c>
      <c r="Q63" s="33"/>
      <c r="R63" s="34"/>
      <c r="S63" s="34"/>
      <c r="T63" s="34"/>
      <c r="U63" s="34"/>
      <c r="V63" s="34">
        <v>4</v>
      </c>
      <c r="W63" s="35">
        <f t="shared" si="0"/>
        <v>0.14814814814814814</v>
      </c>
      <c r="X63" s="36">
        <f>W63*O63</f>
        <v>0.59259259259259256</v>
      </c>
      <c r="Y63" s="37">
        <v>0.53333333333333333</v>
      </c>
      <c r="AA63" s="1">
        <v>15</v>
      </c>
      <c r="AC63" s="1">
        <v>14.81</v>
      </c>
    </row>
    <row r="64" spans="2:29" ht="15.75" customHeight="1" x14ac:dyDescent="0.25">
      <c r="B64" s="367" t="s">
        <v>51</v>
      </c>
      <c r="C64" s="368"/>
      <c r="D64" s="368"/>
      <c r="E64" s="369"/>
      <c r="F64" s="56"/>
      <c r="G64" s="370" t="s">
        <v>52</v>
      </c>
      <c r="H64" s="370"/>
      <c r="I64" s="370"/>
      <c r="J64" s="371"/>
      <c r="K64" s="372" t="str">
        <f>IF(G64="Tidak Ada","","Sebutkan")</f>
        <v/>
      </c>
      <c r="L64" s="384"/>
      <c r="M64" s="385"/>
      <c r="N64" s="386"/>
      <c r="O64" s="38">
        <f>VLOOKUP(G64,[3]Counterparty!$K$30:$M$32,3,FALSE)</f>
        <v>1</v>
      </c>
      <c r="P64" s="33" t="str">
        <f>G64</f>
        <v>Tidak Ada</v>
      </c>
      <c r="Q64" s="33"/>
      <c r="R64" s="34">
        <v>5</v>
      </c>
      <c r="S64" s="34"/>
      <c r="T64" s="34"/>
      <c r="U64" s="34"/>
      <c r="V64" s="34">
        <v>5</v>
      </c>
      <c r="W64" s="35">
        <f t="shared" si="0"/>
        <v>0.18518518518518517</v>
      </c>
      <c r="X64" s="36">
        <f t="shared" si="1"/>
        <v>0.18518518518518517</v>
      </c>
      <c r="Y64" s="37">
        <v>0.5</v>
      </c>
      <c r="AA64" s="1">
        <v>19</v>
      </c>
      <c r="AC64" s="1">
        <v>18.52</v>
      </c>
    </row>
    <row r="65" spans="2:29" ht="15.75" customHeight="1" x14ac:dyDescent="0.25">
      <c r="B65" s="367" t="s">
        <v>53</v>
      </c>
      <c r="C65" s="368"/>
      <c r="D65" s="368"/>
      <c r="E65" s="369"/>
      <c r="F65" s="56"/>
      <c r="G65" s="370" t="s">
        <v>54</v>
      </c>
      <c r="H65" s="370"/>
      <c r="I65" s="370"/>
      <c r="J65" s="371"/>
      <c r="K65" s="372" t="str">
        <f>IF(G65="Tidak","Rata-rata utilisasi","")</f>
        <v/>
      </c>
      <c r="L65" s="373"/>
      <c r="M65" s="374"/>
      <c r="N65" s="375"/>
      <c r="O65" s="38">
        <f>IF(G65="Ya",1,IF(SUM(M65:N65)&gt;=40%,5,IF(M65&gt;=20%,3,1)))</f>
        <v>1</v>
      </c>
      <c r="P65" s="33"/>
      <c r="Q65" s="33"/>
      <c r="R65" s="34"/>
      <c r="S65" s="34"/>
      <c r="T65" s="34"/>
      <c r="U65" s="34"/>
      <c r="V65" s="34">
        <v>5</v>
      </c>
      <c r="W65" s="35">
        <f>V65/$V$68</f>
        <v>0.18518518518518517</v>
      </c>
      <c r="X65" s="36">
        <f t="shared" si="1"/>
        <v>0.18518518518518517</v>
      </c>
      <c r="Y65" s="37">
        <v>0.4</v>
      </c>
      <c r="AA65" s="1">
        <v>19</v>
      </c>
      <c r="AC65" s="1">
        <v>18.52</v>
      </c>
    </row>
    <row r="66" spans="2:29" ht="25.5" customHeight="1" thickBot="1" x14ac:dyDescent="0.3">
      <c r="B66" s="367" t="s">
        <v>55</v>
      </c>
      <c r="C66" s="368"/>
      <c r="D66" s="368"/>
      <c r="E66" s="369"/>
      <c r="F66" s="54"/>
      <c r="G66" s="360" t="s">
        <v>2</v>
      </c>
      <c r="H66" s="361"/>
      <c r="I66" s="361"/>
      <c r="J66" s="362"/>
      <c r="K66" s="376"/>
      <c r="L66" s="376"/>
      <c r="M66" s="376"/>
      <c r="N66" s="377"/>
      <c r="O66" s="38">
        <f>IF(P66="Tidak",5,1)</f>
        <v>5</v>
      </c>
      <c r="P66" s="33" t="str">
        <f>G66</f>
        <v>Tidak</v>
      </c>
      <c r="Q66" s="33"/>
      <c r="R66" s="34">
        <v>5</v>
      </c>
      <c r="S66" s="34"/>
      <c r="T66" s="34"/>
      <c r="U66" s="34"/>
      <c r="V66" s="34">
        <v>3</v>
      </c>
      <c r="W66" s="39">
        <f t="shared" si="0"/>
        <v>0.1111111111111111</v>
      </c>
      <c r="X66" s="36">
        <f t="shared" si="1"/>
        <v>0.55555555555555558</v>
      </c>
      <c r="Y66" s="37"/>
      <c r="AA66" s="1">
        <v>11</v>
      </c>
      <c r="AC66" s="1">
        <v>11.12</v>
      </c>
    </row>
    <row r="67" spans="2:29" ht="2.25" customHeight="1" thickTop="1" thickBot="1" x14ac:dyDescent="0.3">
      <c r="O67" s="33"/>
      <c r="P67" s="33"/>
      <c r="Q67" s="33"/>
      <c r="R67" s="33"/>
      <c r="S67" s="33"/>
      <c r="T67" s="33"/>
      <c r="U67" s="33"/>
      <c r="V67" s="33"/>
      <c r="W67" s="40">
        <f>1/8</f>
        <v>0.125</v>
      </c>
      <c r="X67" s="41"/>
      <c r="Y67" s="37">
        <v>3.7999999999999994</v>
      </c>
    </row>
    <row r="68" spans="2:29" ht="20.25" thickTop="1" thickBot="1" x14ac:dyDescent="0.3">
      <c r="B68" s="357" t="s">
        <v>56</v>
      </c>
      <c r="C68" s="358"/>
      <c r="D68" s="358"/>
      <c r="E68" s="358"/>
      <c r="F68" s="358"/>
      <c r="G68" s="358"/>
      <c r="H68" s="358"/>
      <c r="I68" s="358"/>
      <c r="J68" s="358"/>
      <c r="K68" s="358"/>
      <c r="L68" s="358"/>
      <c r="M68" s="358"/>
      <c r="N68" s="359"/>
      <c r="O68" s="42"/>
      <c r="P68" s="33"/>
      <c r="Q68" s="33"/>
      <c r="R68" s="33"/>
      <c r="S68" s="33"/>
      <c r="T68" s="33"/>
      <c r="U68" s="33"/>
      <c r="V68" s="33">
        <f>SUM(V60:V66)</f>
        <v>27</v>
      </c>
      <c r="W68" s="43">
        <f>SUM(W60:W66)</f>
        <v>1</v>
      </c>
      <c r="X68" s="41">
        <f>SUM(X60:X67)</f>
        <v>2.7037037037037033</v>
      </c>
      <c r="AA68" s="1">
        <f>SUM(AA60:AA66)</f>
        <v>101</v>
      </c>
      <c r="AC68" s="44">
        <f>SUM(AC60:AC66)</f>
        <v>100</v>
      </c>
    </row>
    <row r="69" spans="2:29" ht="2.25" customHeight="1" thickTop="1" x14ac:dyDescent="0.25"/>
    <row r="70" spans="2:29" ht="25.5" customHeight="1" x14ac:dyDescent="0.25">
      <c r="B70" s="339" t="s">
        <v>57</v>
      </c>
      <c r="C70" s="340"/>
      <c r="D70" s="340"/>
      <c r="E70" s="341"/>
      <c r="F70" s="54"/>
      <c r="G70" s="360" t="s">
        <v>54</v>
      </c>
      <c r="H70" s="361"/>
      <c r="I70" s="361"/>
      <c r="J70" s="362"/>
      <c r="K70" s="363" t="str">
        <f>IF(G70="Ya","Input Nilai Absolut","")</f>
        <v>Input Nilai Absolut</v>
      </c>
      <c r="L70" s="364"/>
      <c r="M70" s="365">
        <v>0.03</v>
      </c>
      <c r="N70" s="366"/>
      <c r="Q70" s="45"/>
      <c r="R70" s="20"/>
      <c r="S70" s="20"/>
      <c r="T70" s="20"/>
      <c r="U70" s="20"/>
      <c r="V70" s="20"/>
    </row>
    <row r="71" spans="2:29" ht="1.5" customHeight="1" thickBot="1" x14ac:dyDescent="0.3">
      <c r="R71" s="13"/>
      <c r="S71" s="13"/>
      <c r="T71" s="13"/>
      <c r="U71" s="13"/>
      <c r="V71" s="13"/>
    </row>
    <row r="72" spans="2:29" ht="20.25" thickTop="1" thickBot="1" x14ac:dyDescent="0.3">
      <c r="B72" s="357" t="s">
        <v>58</v>
      </c>
      <c r="C72" s="358"/>
      <c r="D72" s="358"/>
      <c r="E72" s="358"/>
      <c r="F72" s="358"/>
      <c r="G72" s="358"/>
      <c r="H72" s="358"/>
      <c r="I72" s="358"/>
      <c r="J72" s="358"/>
      <c r="K72" s="358"/>
      <c r="L72" s="358"/>
      <c r="M72" s="358"/>
      <c r="N72" s="359"/>
      <c r="O72" s="13"/>
      <c r="W72" s="46"/>
    </row>
    <row r="73" spans="2:29" ht="2.25" customHeight="1" thickTop="1" x14ac:dyDescent="0.25"/>
    <row r="74" spans="2:29" ht="24" customHeight="1" x14ac:dyDescent="0.25">
      <c r="B74" s="339" t="s">
        <v>59</v>
      </c>
      <c r="C74" s="340"/>
      <c r="D74" s="340"/>
      <c r="E74" s="341"/>
      <c r="F74" s="54"/>
      <c r="G74" s="348"/>
      <c r="H74" s="349"/>
      <c r="I74" s="349"/>
      <c r="J74" s="350"/>
      <c r="K74" s="351"/>
      <c r="L74" s="352"/>
      <c r="M74" s="352"/>
      <c r="N74" s="353"/>
      <c r="Q74" s="45"/>
      <c r="R74" s="20"/>
      <c r="S74" s="20"/>
      <c r="T74" s="20"/>
      <c r="U74" s="20"/>
      <c r="V74" s="20"/>
    </row>
    <row r="75" spans="2:29" ht="25.5" customHeight="1" x14ac:dyDescent="0.25">
      <c r="B75" s="339" t="s">
        <v>58</v>
      </c>
      <c r="C75" s="340"/>
      <c r="D75" s="340"/>
      <c r="E75" s="341"/>
      <c r="F75" s="54"/>
      <c r="G75" s="348"/>
      <c r="H75" s="349"/>
      <c r="I75" s="349"/>
      <c r="J75" s="350"/>
      <c r="K75" s="354"/>
      <c r="L75" s="355"/>
      <c r="M75" s="355"/>
      <c r="N75" s="356"/>
      <c r="Q75" s="45"/>
      <c r="R75" s="20"/>
      <c r="S75" s="20"/>
      <c r="T75" s="20"/>
      <c r="U75" s="20"/>
      <c r="V75" s="20"/>
    </row>
    <row r="76" spans="2:29" x14ac:dyDescent="0.25">
      <c r="B76" s="339" t="s">
        <v>60</v>
      </c>
      <c r="C76" s="340"/>
      <c r="D76" s="340"/>
      <c r="E76" s="341"/>
      <c r="F76" s="54"/>
      <c r="G76" s="342">
        <v>4090000000000</v>
      </c>
      <c r="H76" s="343"/>
      <c r="I76" s="343"/>
      <c r="J76" s="344"/>
      <c r="K76" s="47"/>
      <c r="L76" s="48"/>
      <c r="M76" s="48"/>
      <c r="N76" s="49"/>
      <c r="Q76" s="45"/>
      <c r="R76" s="20"/>
      <c r="S76" s="20"/>
      <c r="T76" s="20"/>
      <c r="U76" s="20"/>
      <c r="V76" s="20"/>
    </row>
    <row r="77" spans="2:29" ht="19.5" customHeight="1" x14ac:dyDescent="0.25">
      <c r="B77" s="339" t="s">
        <v>61</v>
      </c>
      <c r="C77" s="340"/>
      <c r="D77" s="340"/>
      <c r="E77" s="341"/>
      <c r="F77" s="54"/>
      <c r="G77" s="342">
        <f>20%*G76</f>
        <v>818000000000</v>
      </c>
      <c r="H77" s="343"/>
      <c r="I77" s="343"/>
      <c r="J77" s="344"/>
      <c r="K77" s="345" t="s">
        <v>62</v>
      </c>
      <c r="L77" s="346"/>
      <c r="M77" s="346"/>
      <c r="N77" s="347"/>
      <c r="Q77" s="45"/>
      <c r="R77" s="20"/>
      <c r="S77" s="20"/>
      <c r="T77" s="20"/>
      <c r="U77" s="20"/>
      <c r="V77" s="20"/>
    </row>
    <row r="78" spans="2:29" ht="5.25" customHeight="1" x14ac:dyDescent="0.25"/>
    <row r="79" spans="2:29" ht="3.75" customHeight="1" x14ac:dyDescent="0.25"/>
    <row r="82" spans="2:2" x14ac:dyDescent="0.25">
      <c r="B82" s="50" t="s">
        <v>63</v>
      </c>
    </row>
    <row r="85" spans="2:2" ht="15.75" x14ac:dyDescent="0.25">
      <c r="B85" s="51" t="s">
        <v>64</v>
      </c>
    </row>
  </sheetData>
  <mergeCells count="138">
    <mergeCell ref="B12:E12"/>
    <mergeCell ref="B3:L5"/>
    <mergeCell ref="O3:O5"/>
    <mergeCell ref="B7:E7"/>
    <mergeCell ref="F7:N7"/>
    <mergeCell ref="F9:N9"/>
    <mergeCell ref="F10:N10"/>
    <mergeCell ref="F12:N12"/>
    <mergeCell ref="F14:N14"/>
    <mergeCell ref="B14:E14"/>
    <mergeCell ref="B17:N17"/>
    <mergeCell ref="B19:E19"/>
    <mergeCell ref="G19:J19"/>
    <mergeCell ref="K19:N19"/>
    <mergeCell ref="K21:N21"/>
    <mergeCell ref="B21:E21"/>
    <mergeCell ref="G21:J21"/>
    <mergeCell ref="B25:E25"/>
    <mergeCell ref="G25:J25"/>
    <mergeCell ref="B26:E26"/>
    <mergeCell ref="G26:J26"/>
    <mergeCell ref="B27:E27"/>
    <mergeCell ref="G27:J27"/>
    <mergeCell ref="B22:E22"/>
    <mergeCell ref="G22:J22"/>
    <mergeCell ref="B23:E23"/>
    <mergeCell ref="G23:J23"/>
    <mergeCell ref="B24:E24"/>
    <mergeCell ref="G24:J24"/>
    <mergeCell ref="B31:E31"/>
    <mergeCell ref="G31:J31"/>
    <mergeCell ref="B32:E32"/>
    <mergeCell ref="G32:J32"/>
    <mergeCell ref="B33:E33"/>
    <mergeCell ref="G33:J33"/>
    <mergeCell ref="B28:E28"/>
    <mergeCell ref="G28:J28"/>
    <mergeCell ref="B29:E29"/>
    <mergeCell ref="G29:J29"/>
    <mergeCell ref="B30:E30"/>
    <mergeCell ref="G30:J30"/>
    <mergeCell ref="B37:E37"/>
    <mergeCell ref="G37:J37"/>
    <mergeCell ref="B38:E38"/>
    <mergeCell ref="G38:J38"/>
    <mergeCell ref="B40:E40"/>
    <mergeCell ref="G40:J40"/>
    <mergeCell ref="B34:E34"/>
    <mergeCell ref="G34:J34"/>
    <mergeCell ref="B35:E35"/>
    <mergeCell ref="G35:J35"/>
    <mergeCell ref="B36:E36"/>
    <mergeCell ref="G36:J36"/>
    <mergeCell ref="B44:E44"/>
    <mergeCell ref="G44:J44"/>
    <mergeCell ref="K44:N44"/>
    <mergeCell ref="B45:E45"/>
    <mergeCell ref="G45:J45"/>
    <mergeCell ref="K45:N45"/>
    <mergeCell ref="K40:N40"/>
    <mergeCell ref="B42:E42"/>
    <mergeCell ref="G42:J42"/>
    <mergeCell ref="K42:N42"/>
    <mergeCell ref="B43:E43"/>
    <mergeCell ref="G43:J43"/>
    <mergeCell ref="K43:N43"/>
    <mergeCell ref="B48:E48"/>
    <mergeCell ref="G48:J48"/>
    <mergeCell ref="K48:N48"/>
    <mergeCell ref="B49:E49"/>
    <mergeCell ref="G49:J49"/>
    <mergeCell ref="K49:N49"/>
    <mergeCell ref="B46:E46"/>
    <mergeCell ref="G46:J46"/>
    <mergeCell ref="K46:N46"/>
    <mergeCell ref="B47:E47"/>
    <mergeCell ref="G47:J47"/>
    <mergeCell ref="K47:N47"/>
    <mergeCell ref="B52:E52"/>
    <mergeCell ref="G52:J52"/>
    <mergeCell ref="K52:N52"/>
    <mergeCell ref="B53:E53"/>
    <mergeCell ref="G53:J53"/>
    <mergeCell ref="K53:N53"/>
    <mergeCell ref="B50:E50"/>
    <mergeCell ref="G50:J50"/>
    <mergeCell ref="K50:N50"/>
    <mergeCell ref="B51:E51"/>
    <mergeCell ref="G51:J51"/>
    <mergeCell ref="K51:N51"/>
    <mergeCell ref="B56:E56"/>
    <mergeCell ref="G56:J56"/>
    <mergeCell ref="K56:N56"/>
    <mergeCell ref="B60:E60"/>
    <mergeCell ref="G60:J60"/>
    <mergeCell ref="K60:N60"/>
    <mergeCell ref="B54:E54"/>
    <mergeCell ref="G54:J54"/>
    <mergeCell ref="K54:N54"/>
    <mergeCell ref="B55:E55"/>
    <mergeCell ref="G55:J55"/>
    <mergeCell ref="K55:N55"/>
    <mergeCell ref="B63:E63"/>
    <mergeCell ref="G63:J63"/>
    <mergeCell ref="K63:N63"/>
    <mergeCell ref="B64:E64"/>
    <mergeCell ref="G64:J64"/>
    <mergeCell ref="K64:L64"/>
    <mergeCell ref="M64:N64"/>
    <mergeCell ref="B61:E61"/>
    <mergeCell ref="G61:J61"/>
    <mergeCell ref="K61:N61"/>
    <mergeCell ref="B62:E62"/>
    <mergeCell ref="G62:J62"/>
    <mergeCell ref="K62:N62"/>
    <mergeCell ref="B68:N68"/>
    <mergeCell ref="B70:E70"/>
    <mergeCell ref="G70:J70"/>
    <mergeCell ref="K70:L70"/>
    <mergeCell ref="M70:N70"/>
    <mergeCell ref="B72:N72"/>
    <mergeCell ref="B65:E65"/>
    <mergeCell ref="G65:J65"/>
    <mergeCell ref="K65:L65"/>
    <mergeCell ref="M65:N65"/>
    <mergeCell ref="B66:E66"/>
    <mergeCell ref="G66:J66"/>
    <mergeCell ref="K66:N66"/>
    <mergeCell ref="B77:E77"/>
    <mergeCell ref="G77:J77"/>
    <mergeCell ref="K77:N77"/>
    <mergeCell ref="B74:E74"/>
    <mergeCell ref="G74:J74"/>
    <mergeCell ref="K74:N75"/>
    <mergeCell ref="B75:E75"/>
    <mergeCell ref="G75:J75"/>
    <mergeCell ref="B76:E76"/>
    <mergeCell ref="G76:J76"/>
  </mergeCells>
  <dataValidations count="6">
    <dataValidation type="list" allowBlank="1" showInputMessage="1" showErrorMessage="1" sqref="G70:J70 G65:J66">
      <formula1>pernyataan</formula1>
    </dataValidation>
    <dataValidation type="list" allowBlank="1" showInputMessage="1" showErrorMessage="1" sqref="G64:J64">
      <formula1>INV_GRADE</formula1>
    </dataValidation>
    <dataValidation type="list" allowBlank="1" showInputMessage="1" showErrorMessage="1" sqref="G62:J62">
      <formula1>kej</formula1>
    </dataValidation>
    <dataValidation type="list" allowBlank="1" showInputMessage="1" showErrorMessage="1" sqref="G60:J60">
      <formula1>YR</formula1>
    </dataValidation>
    <dataValidation type="list" allowBlank="1" showInputMessage="1" showErrorMessage="1" sqref="G61:J61">
      <formula1>KEPML</formula1>
    </dataValidation>
    <dataValidation type="list" allowBlank="1" showInputMessage="1" showErrorMessage="1" sqref="G63:J63">
      <formula1>PBA</formula1>
    </dataValidation>
  </dataValidations>
  <pageMargins left="0.47" right="0.7" top="0.35" bottom="0.32" header="0.3" footer="0.3"/>
  <pageSetup paperSize="9" scale="3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N19"/>
  <sheetViews>
    <sheetView view="pageBreakPreview" zoomScale="110" zoomScaleNormal="100" zoomScaleSheetLayoutView="110" workbookViewId="0">
      <selection activeCell="K12" sqref="K12"/>
    </sheetView>
  </sheetViews>
  <sheetFormatPr defaultRowHeight="15" x14ac:dyDescent="0.25"/>
  <cols>
    <col min="2" max="2" width="16.7109375" customWidth="1"/>
    <col min="4" max="4" width="16.42578125" bestFit="1" customWidth="1"/>
    <col min="14" max="14" width="17.28515625" bestFit="1" customWidth="1"/>
  </cols>
  <sheetData>
    <row r="2" spans="2:14" x14ac:dyDescent="0.25">
      <c r="B2" s="109" t="s">
        <v>80</v>
      </c>
      <c r="C2" s="110"/>
      <c r="D2" s="110"/>
    </row>
    <row r="3" spans="2:14" x14ac:dyDescent="0.25">
      <c r="B3" s="73" t="s">
        <v>79</v>
      </c>
    </row>
    <row r="4" spans="2:14" x14ac:dyDescent="0.25">
      <c r="B4" s="71" t="s">
        <v>94</v>
      </c>
      <c r="C4" s="60"/>
    </row>
    <row r="5" spans="2:14" x14ac:dyDescent="0.25">
      <c r="B5" s="71" t="s">
        <v>78</v>
      </c>
      <c r="C5" s="71"/>
    </row>
    <row r="6" spans="2:14" x14ac:dyDescent="0.25">
      <c r="B6" s="71" t="s">
        <v>67</v>
      </c>
      <c r="C6" s="60"/>
    </row>
    <row r="9" spans="2:14" x14ac:dyDescent="0.25">
      <c r="E9" s="313" t="s">
        <v>75</v>
      </c>
      <c r="F9" s="313"/>
      <c r="G9" s="313"/>
      <c r="H9" s="313"/>
      <c r="I9" s="313"/>
      <c r="J9" s="313"/>
      <c r="K9" s="313"/>
      <c r="L9" s="313"/>
      <c r="M9" s="313"/>
    </row>
    <row r="10" spans="2:14" ht="45" x14ac:dyDescent="0.25">
      <c r="E10" s="68" t="s">
        <v>74</v>
      </c>
      <c r="F10" s="68" t="s">
        <v>73</v>
      </c>
      <c r="G10" s="68" t="s">
        <v>72</v>
      </c>
      <c r="H10" s="68" t="s">
        <v>71</v>
      </c>
      <c r="I10" s="69" t="s">
        <v>70</v>
      </c>
      <c r="J10" s="68" t="str">
        <f>H10</f>
        <v>Slightly favors</v>
      </c>
      <c r="K10" s="68" t="str">
        <f>G10</f>
        <v>Strongly favors</v>
      </c>
      <c r="L10" s="68" t="str">
        <f>F10</f>
        <v>Very strong favor</v>
      </c>
      <c r="M10" s="68" t="str">
        <f>E10</f>
        <v>Extreme favors</v>
      </c>
    </row>
    <row r="11" spans="2:14" x14ac:dyDescent="0.25">
      <c r="E11" s="70">
        <v>9</v>
      </c>
      <c r="F11" s="70">
        <v>7</v>
      </c>
      <c r="G11" s="70">
        <v>5</v>
      </c>
      <c r="H11" s="70">
        <v>3</v>
      </c>
      <c r="I11" s="72">
        <v>1</v>
      </c>
      <c r="J11" s="70">
        <v>3</v>
      </c>
      <c r="K11" s="70">
        <v>5</v>
      </c>
      <c r="L11" s="70">
        <v>7</v>
      </c>
      <c r="M11" s="70">
        <v>9</v>
      </c>
    </row>
    <row r="12" spans="2:14" x14ac:dyDescent="0.25">
      <c r="D12" s="105" t="s">
        <v>94</v>
      </c>
      <c r="E12" s="106"/>
      <c r="F12" s="106"/>
      <c r="G12" s="106"/>
      <c r="H12" s="106"/>
      <c r="I12" s="106"/>
      <c r="J12" s="106"/>
      <c r="K12" s="116">
        <f>1/5</f>
        <v>0.2</v>
      </c>
      <c r="L12" s="106"/>
      <c r="M12" s="106"/>
      <c r="N12" s="105" t="s">
        <v>78</v>
      </c>
    </row>
    <row r="13" spans="2:14" x14ac:dyDescent="0.25">
      <c r="D13" s="105" t="s">
        <v>94</v>
      </c>
      <c r="E13" s="106"/>
      <c r="F13" s="106"/>
      <c r="G13" s="106">
        <v>5</v>
      </c>
      <c r="H13" s="106"/>
      <c r="I13" s="106"/>
      <c r="J13" s="106"/>
      <c r="K13" s="106"/>
      <c r="L13" s="106"/>
      <c r="M13" s="106"/>
      <c r="N13" s="105" t="s">
        <v>67</v>
      </c>
    </row>
    <row r="14" spans="2:14" x14ac:dyDescent="0.25">
      <c r="D14" s="107"/>
      <c r="E14" s="75"/>
      <c r="F14" s="75"/>
      <c r="G14" s="75"/>
      <c r="H14" s="75"/>
      <c r="I14" s="75"/>
      <c r="J14" s="75"/>
      <c r="K14" s="75"/>
      <c r="L14" s="75"/>
      <c r="M14" s="75"/>
      <c r="N14" s="75"/>
    </row>
    <row r="15" spans="2:14" x14ac:dyDescent="0.25">
      <c r="D15" s="105" t="s">
        <v>78</v>
      </c>
      <c r="E15" s="74"/>
      <c r="F15" s="74"/>
      <c r="G15" s="106">
        <v>5</v>
      </c>
      <c r="H15" s="74"/>
      <c r="I15" s="74"/>
      <c r="J15" s="74"/>
      <c r="K15" s="74"/>
      <c r="L15" s="74"/>
      <c r="M15" s="74"/>
      <c r="N15" s="105" t="s">
        <v>94</v>
      </c>
    </row>
    <row r="16" spans="2:14" x14ac:dyDescent="0.25">
      <c r="D16" s="105" t="s">
        <v>78</v>
      </c>
      <c r="E16" s="74"/>
      <c r="F16" s="74"/>
      <c r="G16" s="74">
        <v>5</v>
      </c>
      <c r="H16" s="74"/>
      <c r="I16" s="74"/>
      <c r="J16" s="74"/>
      <c r="K16" s="106"/>
      <c r="L16" s="74"/>
      <c r="M16" s="74"/>
      <c r="N16" s="105" t="s">
        <v>67</v>
      </c>
    </row>
    <row r="17" spans="4:14" x14ac:dyDescent="0.25">
      <c r="D17" s="107"/>
      <c r="E17" s="75"/>
      <c r="F17" s="75"/>
      <c r="G17" s="75"/>
      <c r="H17" s="75"/>
      <c r="I17" s="75"/>
      <c r="J17" s="75"/>
      <c r="K17" s="75"/>
      <c r="L17" s="75"/>
      <c r="M17" s="75"/>
      <c r="N17" s="75"/>
    </row>
    <row r="18" spans="4:14" x14ac:dyDescent="0.25">
      <c r="D18" s="105" t="s">
        <v>67</v>
      </c>
      <c r="E18" s="74"/>
      <c r="F18" s="74"/>
      <c r="G18" s="74"/>
      <c r="H18" s="74"/>
      <c r="I18" s="74"/>
      <c r="J18" s="74"/>
      <c r="K18" s="116">
        <f>1/5</f>
        <v>0.2</v>
      </c>
      <c r="L18" s="74"/>
      <c r="M18" s="74"/>
      <c r="N18" s="105" t="s">
        <v>78</v>
      </c>
    </row>
    <row r="19" spans="4:14" x14ac:dyDescent="0.25">
      <c r="D19" s="105" t="s">
        <v>67</v>
      </c>
      <c r="E19" s="74"/>
      <c r="F19" s="74"/>
      <c r="G19" s="74"/>
      <c r="H19" s="74"/>
      <c r="I19" s="74"/>
      <c r="J19" s="74"/>
      <c r="K19" s="116">
        <f>1/5</f>
        <v>0.2</v>
      </c>
      <c r="L19" s="74"/>
      <c r="M19" s="74"/>
      <c r="N19" s="105" t="s">
        <v>94</v>
      </c>
    </row>
  </sheetData>
  <mergeCells count="1">
    <mergeCell ref="E9:M9"/>
  </mergeCells>
  <pageMargins left="0.7" right="0.7" top="0.75" bottom="0.75" header="0.3" footer="0.3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view="pageBreakPreview" topLeftCell="A7" zoomScale="110" zoomScaleNormal="100" zoomScaleSheetLayoutView="110" workbookViewId="0">
      <selection activeCell="C15" sqref="C15"/>
    </sheetView>
  </sheetViews>
  <sheetFormatPr defaultRowHeight="15" x14ac:dyDescent="0.25"/>
  <cols>
    <col min="1" max="1" width="16.7109375" customWidth="1"/>
    <col min="2" max="2" width="14.28515625" customWidth="1"/>
    <col min="3" max="3" width="16.42578125" bestFit="1" customWidth="1"/>
    <col min="4" max="4" width="14.140625" customWidth="1"/>
    <col min="13" max="13" width="17.28515625" bestFit="1" customWidth="1"/>
  </cols>
  <sheetData>
    <row r="2" spans="1:16" s="65" customFormat="1" ht="30" x14ac:dyDescent="0.25">
      <c r="A2" s="117" t="s">
        <v>79</v>
      </c>
      <c r="B2" s="118" t="s">
        <v>76</v>
      </c>
      <c r="C2" s="118" t="s">
        <v>78</v>
      </c>
      <c r="D2" s="118" t="s">
        <v>67</v>
      </c>
    </row>
    <row r="3" spans="1:16" s="65" customFormat="1" x14ac:dyDescent="0.25">
      <c r="A3" s="105" t="s">
        <v>76</v>
      </c>
      <c r="B3" s="119">
        <v>1</v>
      </c>
      <c r="C3" s="120">
        <f>M6</f>
        <v>0.2</v>
      </c>
      <c r="D3" s="65">
        <f>I7</f>
        <v>5</v>
      </c>
      <c r="F3"/>
      <c r="G3" s="313" t="s">
        <v>75</v>
      </c>
      <c r="H3" s="313"/>
      <c r="I3" s="313"/>
      <c r="J3" s="313"/>
      <c r="K3" s="313"/>
      <c r="L3" s="313"/>
      <c r="M3" s="313"/>
      <c r="N3" s="313"/>
      <c r="O3" s="313"/>
      <c r="P3"/>
    </row>
    <row r="4" spans="1:16" s="65" customFormat="1" ht="45" x14ac:dyDescent="0.25">
      <c r="A4" s="105" t="s">
        <v>78</v>
      </c>
      <c r="B4" s="122">
        <f>I9</f>
        <v>5</v>
      </c>
      <c r="C4" s="119">
        <v>1</v>
      </c>
      <c r="D4" s="65">
        <f>I10</f>
        <v>5</v>
      </c>
      <c r="F4"/>
      <c r="G4" s="68" t="s">
        <v>74</v>
      </c>
      <c r="H4" s="68" t="s">
        <v>73</v>
      </c>
      <c r="I4" s="68" t="s">
        <v>72</v>
      </c>
      <c r="J4" s="68" t="s">
        <v>71</v>
      </c>
      <c r="K4" s="69" t="s">
        <v>70</v>
      </c>
      <c r="L4" s="68" t="str">
        <f>J4</f>
        <v>Slightly favors</v>
      </c>
      <c r="M4" s="68" t="str">
        <f>I4</f>
        <v>Strongly favors</v>
      </c>
      <c r="N4" s="68" t="str">
        <f>H4</f>
        <v>Very strong favor</v>
      </c>
      <c r="O4" s="68" t="str">
        <f>G4</f>
        <v>Extreme favors</v>
      </c>
      <c r="P4"/>
    </row>
    <row r="5" spans="1:16" s="65" customFormat="1" x14ac:dyDescent="0.25">
      <c r="A5" s="105" t="s">
        <v>67</v>
      </c>
      <c r="B5" s="123">
        <f>M13</f>
        <v>0.2</v>
      </c>
      <c r="C5" s="120">
        <f>M12</f>
        <v>0.2</v>
      </c>
      <c r="D5" s="119">
        <v>1</v>
      </c>
      <c r="F5"/>
      <c r="G5" s="70">
        <v>9</v>
      </c>
      <c r="H5" s="70">
        <v>7</v>
      </c>
      <c r="I5" s="70">
        <v>5</v>
      </c>
      <c r="J5" s="70">
        <v>3</v>
      </c>
      <c r="K5" s="72">
        <v>1</v>
      </c>
      <c r="L5" s="70">
        <v>3</v>
      </c>
      <c r="M5" s="70">
        <v>5</v>
      </c>
      <c r="N5" s="70">
        <v>7</v>
      </c>
      <c r="O5" s="70">
        <v>9</v>
      </c>
      <c r="P5"/>
    </row>
    <row r="6" spans="1:16" s="65" customFormat="1" x14ac:dyDescent="0.25">
      <c r="A6" s="124" t="s">
        <v>81</v>
      </c>
      <c r="B6" s="124">
        <f>SUM(B3:B5)</f>
        <v>6.2</v>
      </c>
      <c r="C6" s="124">
        <f t="shared" ref="C6:D6" si="0">SUM(C3:C5)</f>
        <v>1.4</v>
      </c>
      <c r="D6" s="124">
        <f t="shared" si="0"/>
        <v>11</v>
      </c>
      <c r="F6" s="105" t="s">
        <v>76</v>
      </c>
      <c r="G6" s="106"/>
      <c r="H6" s="106"/>
      <c r="I6" s="106"/>
      <c r="J6" s="106"/>
      <c r="K6" s="106"/>
      <c r="L6" s="106"/>
      <c r="M6" s="116">
        <f>1/5</f>
        <v>0.2</v>
      </c>
      <c r="N6" s="106"/>
      <c r="O6" s="106"/>
      <c r="P6" s="105" t="s">
        <v>78</v>
      </c>
    </row>
    <row r="7" spans="1:16" s="65" customFormat="1" x14ac:dyDescent="0.25">
      <c r="A7" s="124"/>
      <c r="B7" s="124"/>
      <c r="C7" s="124"/>
      <c r="D7" s="124"/>
      <c r="F7" s="105" t="s">
        <v>77</v>
      </c>
      <c r="G7" s="106"/>
      <c r="H7" s="106"/>
      <c r="I7" s="106">
        <v>5</v>
      </c>
      <c r="J7" s="106"/>
      <c r="K7" s="106"/>
      <c r="L7" s="106"/>
      <c r="M7" s="106"/>
      <c r="N7" s="106"/>
      <c r="O7" s="106"/>
      <c r="P7" s="105" t="s">
        <v>67</v>
      </c>
    </row>
    <row r="8" spans="1:16" s="65" customFormat="1" ht="30" x14ac:dyDescent="0.25">
      <c r="A8" s="117" t="s">
        <v>79</v>
      </c>
      <c r="B8" s="118" t="s">
        <v>76</v>
      </c>
      <c r="C8" s="118" t="s">
        <v>78</v>
      </c>
      <c r="D8" s="118" t="s">
        <v>67</v>
      </c>
      <c r="F8" s="107"/>
      <c r="G8" s="75"/>
      <c r="H8" s="75"/>
      <c r="I8" s="75"/>
      <c r="J8" s="75"/>
      <c r="K8" s="75"/>
      <c r="L8" s="75"/>
      <c r="M8" s="75"/>
      <c r="N8" s="75"/>
      <c r="O8" s="75"/>
      <c r="P8" s="75"/>
    </row>
    <row r="9" spans="1:16" s="65" customFormat="1" x14ac:dyDescent="0.25">
      <c r="A9" s="105" t="s">
        <v>76</v>
      </c>
      <c r="B9" s="126">
        <f>B3/$B$6</f>
        <v>0.16129032258064516</v>
      </c>
      <c r="C9" s="121">
        <f>C3/$C$6</f>
        <v>0.14285714285714288</v>
      </c>
      <c r="D9" s="124">
        <f>D3/$D$6</f>
        <v>0.45454545454545453</v>
      </c>
      <c r="F9" s="105" t="s">
        <v>78</v>
      </c>
      <c r="G9" s="74"/>
      <c r="H9" s="74"/>
      <c r="I9" s="106">
        <v>5</v>
      </c>
      <c r="J9" s="74"/>
      <c r="K9" s="74"/>
      <c r="L9" s="74"/>
      <c r="M9" s="74"/>
      <c r="N9" s="74"/>
      <c r="O9" s="74"/>
      <c r="P9" s="105" t="s">
        <v>76</v>
      </c>
    </row>
    <row r="10" spans="1:16" s="65" customFormat="1" x14ac:dyDescent="0.25">
      <c r="A10" s="105" t="s">
        <v>78</v>
      </c>
      <c r="B10" s="124">
        <f t="shared" ref="B10:B11" si="1">B4/$B$6</f>
        <v>0.80645161290322576</v>
      </c>
      <c r="C10" s="127">
        <f t="shared" ref="C10:C11" si="2">C4/$C$6</f>
        <v>0.7142857142857143</v>
      </c>
      <c r="D10" s="124">
        <f t="shared" ref="D10:D11" si="3">D4/$D$6</f>
        <v>0.45454545454545453</v>
      </c>
      <c r="F10" s="105" t="s">
        <v>78</v>
      </c>
      <c r="G10" s="74"/>
      <c r="H10" s="74"/>
      <c r="I10" s="74">
        <v>5</v>
      </c>
      <c r="J10" s="74"/>
      <c r="K10" s="74"/>
      <c r="L10" s="74"/>
      <c r="M10" s="106"/>
      <c r="N10" s="74"/>
      <c r="O10" s="74"/>
      <c r="P10" s="105" t="s">
        <v>67</v>
      </c>
    </row>
    <row r="11" spans="1:16" s="65" customFormat="1" x14ac:dyDescent="0.25">
      <c r="A11" s="105" t="s">
        <v>67</v>
      </c>
      <c r="B11" s="124">
        <f t="shared" si="1"/>
        <v>3.2258064516129031E-2</v>
      </c>
      <c r="C11" s="121">
        <f t="shared" si="2"/>
        <v>0.14285714285714288</v>
      </c>
      <c r="D11" s="126">
        <f t="shared" si="3"/>
        <v>9.0909090909090912E-2</v>
      </c>
      <c r="F11" s="107"/>
      <c r="G11" s="75"/>
      <c r="H11" s="75"/>
      <c r="I11" s="75"/>
      <c r="J11" s="75"/>
      <c r="K11" s="75"/>
      <c r="L11" s="75"/>
      <c r="M11" s="75"/>
      <c r="N11" s="75"/>
      <c r="O11" s="75"/>
      <c r="P11" s="75"/>
    </row>
    <row r="12" spans="1:16" s="65" customFormat="1" x14ac:dyDescent="0.25">
      <c r="A12" s="124" t="s">
        <v>81</v>
      </c>
      <c r="B12" s="124">
        <f>SUM(B9:B11)</f>
        <v>0.99999999999999989</v>
      </c>
      <c r="C12" s="124">
        <f t="shared" ref="C12:D12" si="4">SUM(C9:C11)</f>
        <v>1</v>
      </c>
      <c r="D12" s="124">
        <f t="shared" si="4"/>
        <v>1</v>
      </c>
      <c r="F12" s="105" t="s">
        <v>67</v>
      </c>
      <c r="G12" s="74"/>
      <c r="H12" s="74"/>
      <c r="I12" s="74"/>
      <c r="J12" s="74"/>
      <c r="K12" s="74"/>
      <c r="L12" s="74"/>
      <c r="M12" s="116">
        <f>1/5</f>
        <v>0.2</v>
      </c>
      <c r="N12" s="74"/>
      <c r="O12" s="74"/>
      <c r="P12" s="105" t="s">
        <v>78</v>
      </c>
    </row>
    <row r="13" spans="1:16" s="65" customFormat="1" x14ac:dyDescent="0.25">
      <c r="A13" s="124"/>
      <c r="B13" s="124"/>
      <c r="C13" s="124"/>
      <c r="D13" s="124"/>
      <c r="F13" s="105" t="s">
        <v>67</v>
      </c>
      <c r="G13" s="74"/>
      <c r="H13" s="74"/>
      <c r="I13" s="74"/>
      <c r="J13" s="74"/>
      <c r="K13" s="74"/>
      <c r="L13" s="74"/>
      <c r="M13" s="116">
        <f>1/5</f>
        <v>0.2</v>
      </c>
      <c r="N13" s="74"/>
      <c r="O13" s="74"/>
      <c r="P13" s="105" t="s">
        <v>76</v>
      </c>
    </row>
    <row r="14" spans="1:16" s="65" customFormat="1" x14ac:dyDescent="0.25">
      <c r="A14" s="140" t="s">
        <v>79</v>
      </c>
      <c r="B14" s="138" t="s">
        <v>82</v>
      </c>
      <c r="C14" s="139" t="s">
        <v>83</v>
      </c>
      <c r="D14" s="124"/>
    </row>
    <row r="15" spans="1:16" s="65" customFormat="1" x14ac:dyDescent="0.25">
      <c r="A15" s="141" t="s">
        <v>76</v>
      </c>
      <c r="B15" s="138">
        <f>AVERAGE(B9:D9)</f>
        <v>0.25289763999441423</v>
      </c>
      <c r="C15" s="142">
        <f>B15/SUM($B$15:$B$17)</f>
        <v>0.25289763999441423</v>
      </c>
      <c r="D15" s="124"/>
    </row>
    <row r="16" spans="1:16" s="65" customFormat="1" x14ac:dyDescent="0.25">
      <c r="A16" s="141" t="s">
        <v>78</v>
      </c>
      <c r="B16" s="138">
        <f t="shared" ref="B16:B17" si="5">AVERAGE(B10:D10)</f>
        <v>0.65842759391146488</v>
      </c>
      <c r="C16" s="142">
        <f t="shared" ref="C16:C17" si="6">B16/SUM($B$15:$B$17)</f>
        <v>0.65842759391146488</v>
      </c>
      <c r="D16" s="124"/>
    </row>
    <row r="17" spans="1:4" s="65" customFormat="1" x14ac:dyDescent="0.25">
      <c r="A17" s="141" t="s">
        <v>67</v>
      </c>
      <c r="B17" s="138">
        <f t="shared" si="5"/>
        <v>8.8674766094120949E-2</v>
      </c>
      <c r="C17" s="142">
        <f t="shared" si="6"/>
        <v>8.8674766094120949E-2</v>
      </c>
      <c r="D17" s="124"/>
    </row>
    <row r="18" spans="1:4" s="65" customFormat="1" x14ac:dyDescent="0.25">
      <c r="A18" s="124" t="s">
        <v>81</v>
      </c>
      <c r="B18" s="124">
        <f>SUM(B15:B17)</f>
        <v>1</v>
      </c>
      <c r="C18" s="124">
        <f>SUM(C15:C17)</f>
        <v>1</v>
      </c>
      <c r="D18" s="124"/>
    </row>
    <row r="19" spans="1:4" s="65" customFormat="1" x14ac:dyDescent="0.25">
      <c r="A19" s="124"/>
      <c r="B19" s="124"/>
      <c r="C19" s="124"/>
      <c r="D19" s="124"/>
    </row>
    <row r="20" spans="1:4" s="65" customFormat="1" x14ac:dyDescent="0.25">
      <c r="A20" t="s">
        <v>84</v>
      </c>
      <c r="B20" s="121">
        <f>B9*B15+C10*B16+D11*B17</f>
        <v>0.51915670852925067</v>
      </c>
      <c r="C20" s="124"/>
      <c r="D20" s="124"/>
    </row>
    <row r="21" spans="1:4" s="65" customFormat="1" x14ac:dyDescent="0.25">
      <c r="A21" s="65" t="s">
        <v>88</v>
      </c>
      <c r="B21" s="65">
        <f>B6*B15+C6*B16+D6*B17</f>
        <v>3.4651864264767491</v>
      </c>
      <c r="C21" s="124"/>
      <c r="D21" s="77"/>
    </row>
    <row r="22" spans="1:4" s="65" customFormat="1" x14ac:dyDescent="0.25">
      <c r="A22" t="s">
        <v>85</v>
      </c>
      <c r="B22" s="65">
        <f>(B21-(COUNT(A15:A17))/(COUNT(A15:A17)-1))</f>
        <v>3.4651864264767491</v>
      </c>
      <c r="C22" s="124"/>
      <c r="D22" s="77"/>
    </row>
    <row r="23" spans="1:4" x14ac:dyDescent="0.25">
      <c r="A23" t="s">
        <v>86</v>
      </c>
      <c r="B23" s="125">
        <v>0.57999999999999996</v>
      </c>
      <c r="C23" s="125"/>
      <c r="D23" s="125"/>
    </row>
    <row r="24" spans="1:4" x14ac:dyDescent="0.25">
      <c r="A24" t="s">
        <v>87</v>
      </c>
      <c r="B24" s="125">
        <f>B22/B23</f>
        <v>5.9744593559943953</v>
      </c>
      <c r="C24" s="125"/>
      <c r="D24" s="125"/>
    </row>
  </sheetData>
  <mergeCells count="1">
    <mergeCell ref="G3:O3"/>
  </mergeCells>
  <pageMargins left="0.7" right="0.7" top="0.75" bottom="0.75" header="0.3" footer="0.3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48"/>
  <sheetViews>
    <sheetView zoomScale="85" zoomScaleNormal="85" zoomScaleSheetLayoutView="100" workbookViewId="0">
      <selection activeCell="B7" sqref="B7:B15"/>
    </sheetView>
  </sheetViews>
  <sheetFormatPr defaultRowHeight="15" x14ac:dyDescent="0.25"/>
  <cols>
    <col min="1" max="1" width="4.42578125" customWidth="1"/>
    <col min="2" max="2" width="46.5703125" customWidth="1"/>
    <col min="3" max="3" width="48.7109375" style="98" customWidth="1"/>
    <col min="13" max="13" width="50.140625" style="77" customWidth="1"/>
  </cols>
  <sheetData>
    <row r="1" spans="1:13" x14ac:dyDescent="0.25">
      <c r="A1" s="65"/>
      <c r="B1" s="65"/>
    </row>
    <row r="2" spans="1:13" ht="15.75" x14ac:dyDescent="0.25">
      <c r="A2" s="111" t="s">
        <v>80</v>
      </c>
      <c r="B2" s="110"/>
    </row>
    <row r="3" spans="1:13" s="65" customFormat="1" x14ac:dyDescent="0.25">
      <c r="A3" s="64"/>
      <c r="C3" s="98"/>
      <c r="D3" s="313" t="s">
        <v>75</v>
      </c>
      <c r="E3" s="313"/>
      <c r="F3" s="313"/>
      <c r="G3" s="313"/>
      <c r="H3" s="313"/>
      <c r="I3" s="313"/>
      <c r="J3" s="313"/>
      <c r="K3" s="313"/>
      <c r="L3" s="313"/>
      <c r="M3" s="99"/>
    </row>
    <row r="4" spans="1:13" ht="45" x14ac:dyDescent="0.25">
      <c r="D4" s="68" t="s">
        <v>74</v>
      </c>
      <c r="E4" s="68" t="s">
        <v>73</v>
      </c>
      <c r="F4" s="68" t="s">
        <v>72</v>
      </c>
      <c r="G4" s="68" t="s">
        <v>71</v>
      </c>
      <c r="H4" s="69" t="s">
        <v>70</v>
      </c>
      <c r="I4" s="68" t="str">
        <f>G4</f>
        <v>Slightly favors</v>
      </c>
      <c r="J4" s="68" t="str">
        <f>F4</f>
        <v>Strongly favors</v>
      </c>
      <c r="K4" s="68" t="str">
        <f>E4</f>
        <v>Very strong favor</v>
      </c>
      <c r="L4" s="68" t="str">
        <f>D4</f>
        <v>Extreme favors</v>
      </c>
    </row>
    <row r="5" spans="1:13" x14ac:dyDescent="0.25">
      <c r="D5" s="70">
        <v>9</v>
      </c>
      <c r="E5" s="70">
        <v>7</v>
      </c>
      <c r="F5" s="70">
        <v>5</v>
      </c>
      <c r="G5" s="70">
        <v>3</v>
      </c>
      <c r="H5" s="72">
        <v>1</v>
      </c>
      <c r="I5" s="70">
        <v>3</v>
      </c>
      <c r="J5" s="70">
        <v>5</v>
      </c>
      <c r="K5" s="70">
        <v>7</v>
      </c>
      <c r="L5" s="70">
        <v>9</v>
      </c>
    </row>
    <row r="6" spans="1:13" ht="30" x14ac:dyDescent="0.25">
      <c r="A6" s="108" t="s">
        <v>6</v>
      </c>
      <c r="B6" s="60"/>
      <c r="C6" s="102" t="s">
        <v>7</v>
      </c>
      <c r="D6" s="74"/>
      <c r="E6" s="74"/>
      <c r="F6" s="74">
        <v>5</v>
      </c>
      <c r="G6" s="74"/>
      <c r="H6" s="74"/>
      <c r="I6" s="74"/>
      <c r="J6" s="74"/>
      <c r="K6" s="74"/>
      <c r="L6" s="74"/>
      <c r="M6" s="100" t="s">
        <v>8</v>
      </c>
    </row>
    <row r="7" spans="1:13" x14ac:dyDescent="0.25">
      <c r="A7" s="62">
        <v>1</v>
      </c>
      <c r="B7" t="s">
        <v>7</v>
      </c>
      <c r="C7" s="102" t="s">
        <v>7</v>
      </c>
      <c r="D7" s="74"/>
      <c r="E7" s="74"/>
      <c r="F7" s="74">
        <v>5</v>
      </c>
      <c r="G7" s="74"/>
      <c r="H7" s="74"/>
      <c r="I7" s="74"/>
      <c r="J7" s="74"/>
      <c r="K7" s="74"/>
      <c r="L7" s="74"/>
      <c r="M7" s="100" t="s">
        <v>9</v>
      </c>
    </row>
    <row r="8" spans="1:13" x14ac:dyDescent="0.25">
      <c r="A8" s="62">
        <v>2</v>
      </c>
      <c r="B8" t="s">
        <v>8</v>
      </c>
      <c r="C8" s="102" t="s">
        <v>7</v>
      </c>
      <c r="D8" s="74"/>
      <c r="E8" s="74"/>
      <c r="F8" s="74"/>
      <c r="G8" s="74"/>
      <c r="H8" s="74">
        <v>1</v>
      </c>
      <c r="I8" s="74"/>
      <c r="J8" s="74"/>
      <c r="K8" s="74"/>
      <c r="L8" s="74"/>
      <c r="M8" s="100" t="s">
        <v>11</v>
      </c>
    </row>
    <row r="9" spans="1:13" x14ac:dyDescent="0.25">
      <c r="A9" s="62">
        <v>3</v>
      </c>
      <c r="B9" t="s">
        <v>9</v>
      </c>
      <c r="C9" s="102" t="s">
        <v>7</v>
      </c>
      <c r="D9" s="74"/>
      <c r="E9" s="74"/>
      <c r="F9" s="74"/>
      <c r="G9" s="74"/>
      <c r="H9" s="74">
        <v>1</v>
      </c>
      <c r="I9" s="74"/>
      <c r="J9" s="74"/>
      <c r="K9" s="74"/>
      <c r="L9" s="74"/>
      <c r="M9" s="100" t="s">
        <v>12</v>
      </c>
    </row>
    <row r="10" spans="1:13" x14ac:dyDescent="0.25">
      <c r="A10" s="62">
        <v>4</v>
      </c>
      <c r="B10" t="s">
        <v>11</v>
      </c>
      <c r="C10" s="102" t="s">
        <v>7</v>
      </c>
      <c r="D10" s="74"/>
      <c r="E10" s="74"/>
      <c r="F10" s="74"/>
      <c r="G10" s="74">
        <v>3</v>
      </c>
      <c r="H10" s="74"/>
      <c r="I10" s="74"/>
      <c r="J10" s="74"/>
      <c r="K10" s="74"/>
      <c r="L10" s="74"/>
      <c r="M10" s="100" t="s">
        <v>13</v>
      </c>
    </row>
    <row r="11" spans="1:13" x14ac:dyDescent="0.25">
      <c r="A11" s="62">
        <v>5</v>
      </c>
      <c r="B11" t="s">
        <v>12</v>
      </c>
      <c r="C11" s="102" t="s">
        <v>7</v>
      </c>
      <c r="D11" s="74"/>
      <c r="E11" s="74"/>
      <c r="F11" s="74"/>
      <c r="G11" s="74">
        <v>3</v>
      </c>
      <c r="H11" s="74"/>
      <c r="I11" s="74"/>
      <c r="J11" s="74"/>
      <c r="K11" s="74"/>
      <c r="L11" s="74"/>
      <c r="M11" s="100" t="s">
        <v>14</v>
      </c>
    </row>
    <row r="12" spans="1:13" x14ac:dyDescent="0.25">
      <c r="A12" s="62">
        <v>6</v>
      </c>
      <c r="B12" t="s">
        <v>13</v>
      </c>
      <c r="C12" s="102" t="s">
        <v>7</v>
      </c>
      <c r="D12" s="74"/>
      <c r="E12" s="74"/>
      <c r="F12" s="74"/>
      <c r="G12" s="74">
        <v>3</v>
      </c>
      <c r="H12" s="74"/>
      <c r="I12" s="74"/>
      <c r="J12" s="74"/>
      <c r="K12" s="74"/>
      <c r="L12" s="74"/>
      <c r="M12" s="100" t="s">
        <v>15</v>
      </c>
    </row>
    <row r="13" spans="1:13" ht="30" x14ac:dyDescent="0.25">
      <c r="A13" s="62">
        <v>7</v>
      </c>
      <c r="B13" t="s">
        <v>14</v>
      </c>
      <c r="C13" s="102" t="s">
        <v>7</v>
      </c>
      <c r="D13" s="74"/>
      <c r="E13" s="74"/>
      <c r="F13" s="74"/>
      <c r="G13" s="74">
        <v>3</v>
      </c>
      <c r="H13" s="74"/>
      <c r="I13" s="74"/>
      <c r="J13" s="74"/>
      <c r="K13" s="74"/>
      <c r="L13" s="74"/>
      <c r="M13" s="100" t="s">
        <v>16</v>
      </c>
    </row>
    <row r="14" spans="1:13" x14ac:dyDescent="0.25">
      <c r="A14" s="112">
        <v>8</v>
      </c>
      <c r="B14" s="65" t="s">
        <v>15</v>
      </c>
      <c r="C14" s="113" t="s">
        <v>7</v>
      </c>
      <c r="D14" s="114"/>
      <c r="E14" s="114"/>
      <c r="F14" s="114"/>
      <c r="G14" s="114"/>
      <c r="H14" s="114"/>
      <c r="I14" s="114"/>
      <c r="J14" s="114"/>
      <c r="K14" s="114"/>
      <c r="L14" s="114"/>
      <c r="M14" s="115" t="s">
        <v>19</v>
      </c>
    </row>
    <row r="15" spans="1:13" x14ac:dyDescent="0.25">
      <c r="A15" s="112">
        <v>9</v>
      </c>
      <c r="B15" s="65" t="s">
        <v>16</v>
      </c>
      <c r="C15" s="113" t="s">
        <v>7</v>
      </c>
      <c r="D15" s="114"/>
      <c r="E15" s="114"/>
      <c r="F15" s="114"/>
      <c r="G15" s="114"/>
      <c r="H15" s="114"/>
      <c r="I15" s="114"/>
      <c r="J15" s="114"/>
      <c r="K15" s="114"/>
      <c r="L15" s="114"/>
      <c r="M15" s="115" t="s">
        <v>20</v>
      </c>
    </row>
    <row r="16" spans="1:13" x14ac:dyDescent="0.25">
      <c r="A16" s="128">
        <v>10</v>
      </c>
      <c r="B16" s="129" t="s">
        <v>19</v>
      </c>
      <c r="C16" s="113" t="s">
        <v>7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5" t="s">
        <v>21</v>
      </c>
    </row>
    <row r="17" spans="1:13" x14ac:dyDescent="0.25">
      <c r="A17" s="128">
        <v>11</v>
      </c>
      <c r="B17" s="129" t="s">
        <v>20</v>
      </c>
      <c r="C17" s="103"/>
      <c r="D17" s="75"/>
      <c r="E17" s="75"/>
      <c r="F17" s="75"/>
      <c r="G17" s="75"/>
      <c r="H17" s="75"/>
      <c r="I17" s="75"/>
      <c r="J17" s="75"/>
      <c r="K17" s="75"/>
      <c r="L17" s="75"/>
      <c r="M17" s="101"/>
    </row>
    <row r="18" spans="1:13" ht="30" x14ac:dyDescent="0.25">
      <c r="A18" s="128">
        <v>12</v>
      </c>
      <c r="B18" s="129" t="s">
        <v>21</v>
      </c>
      <c r="C18" s="102" t="s">
        <v>8</v>
      </c>
      <c r="D18" s="74"/>
      <c r="E18" s="74"/>
      <c r="F18" s="74"/>
      <c r="G18" s="74"/>
      <c r="H18" s="74"/>
      <c r="I18" s="74"/>
      <c r="J18" s="74">
        <f>1/5</f>
        <v>0.2</v>
      </c>
      <c r="K18" s="74"/>
      <c r="L18" s="74"/>
      <c r="M18" s="100" t="s">
        <v>7</v>
      </c>
    </row>
    <row r="19" spans="1:13" ht="30" x14ac:dyDescent="0.25">
      <c r="C19" s="102" t="s">
        <v>8</v>
      </c>
      <c r="D19" s="74"/>
      <c r="E19" s="74"/>
      <c r="F19" s="74"/>
      <c r="G19" s="74"/>
      <c r="H19" s="74">
        <v>1</v>
      </c>
      <c r="I19" s="74"/>
      <c r="J19" s="74"/>
      <c r="K19" s="74"/>
      <c r="L19" s="74"/>
      <c r="M19" s="100" t="s">
        <v>9</v>
      </c>
    </row>
    <row r="20" spans="1:13" ht="30" x14ac:dyDescent="0.25">
      <c r="C20" s="102" t="s">
        <v>8</v>
      </c>
      <c r="D20" s="74"/>
      <c r="E20" s="74"/>
      <c r="F20" s="74"/>
      <c r="G20" s="74"/>
      <c r="H20" s="74">
        <v>1</v>
      </c>
      <c r="I20" s="74"/>
      <c r="J20" s="74"/>
      <c r="K20" s="74"/>
      <c r="L20" s="74"/>
      <c r="M20" s="100" t="s">
        <v>11</v>
      </c>
    </row>
    <row r="21" spans="1:13" ht="30" x14ac:dyDescent="0.25">
      <c r="C21" s="102" t="s">
        <v>8</v>
      </c>
      <c r="D21" s="74"/>
      <c r="E21" s="74"/>
      <c r="F21" s="74"/>
      <c r="G21" s="74"/>
      <c r="H21" s="74">
        <v>1</v>
      </c>
      <c r="I21" s="74"/>
      <c r="J21" s="74"/>
      <c r="K21" s="74"/>
      <c r="L21" s="74"/>
      <c r="M21" s="100" t="s">
        <v>12</v>
      </c>
    </row>
    <row r="22" spans="1:13" ht="30" x14ac:dyDescent="0.25">
      <c r="C22" s="102" t="s">
        <v>8</v>
      </c>
      <c r="D22" s="74"/>
      <c r="E22" s="74"/>
      <c r="F22" s="74"/>
      <c r="G22" s="74"/>
      <c r="H22" s="74"/>
      <c r="I22" s="74"/>
      <c r="J22" s="74">
        <f>1/5</f>
        <v>0.2</v>
      </c>
      <c r="K22" s="74"/>
      <c r="L22" s="74"/>
      <c r="M22" s="100" t="s">
        <v>13</v>
      </c>
    </row>
    <row r="23" spans="1:13" ht="30" x14ac:dyDescent="0.25">
      <c r="C23" s="102" t="s">
        <v>8</v>
      </c>
      <c r="D23" s="74"/>
      <c r="E23" s="74"/>
      <c r="F23" s="74"/>
      <c r="G23" s="74"/>
      <c r="H23" s="74"/>
      <c r="I23" s="74"/>
      <c r="J23" s="74">
        <f>1/5</f>
        <v>0.2</v>
      </c>
      <c r="K23" s="74"/>
      <c r="L23" s="74"/>
      <c r="M23" s="100" t="s">
        <v>14</v>
      </c>
    </row>
    <row r="24" spans="1:13" ht="30" x14ac:dyDescent="0.25">
      <c r="C24" s="102" t="s">
        <v>8</v>
      </c>
      <c r="D24" s="74"/>
      <c r="E24" s="74"/>
      <c r="F24" s="74"/>
      <c r="G24" s="74"/>
      <c r="H24" s="74"/>
      <c r="I24" s="74"/>
      <c r="J24" s="74">
        <f>1/5</f>
        <v>0.2</v>
      </c>
      <c r="K24" s="74"/>
      <c r="L24" s="74"/>
      <c r="M24" s="100" t="s">
        <v>15</v>
      </c>
    </row>
    <row r="25" spans="1:13" ht="30" x14ac:dyDescent="0.25">
      <c r="C25" s="102" t="s">
        <v>8</v>
      </c>
      <c r="D25" s="74"/>
      <c r="E25" s="74"/>
      <c r="F25" s="74"/>
      <c r="G25" s="74"/>
      <c r="H25" s="74"/>
      <c r="I25" s="74"/>
      <c r="J25" s="74">
        <f>1/5</f>
        <v>0.2</v>
      </c>
      <c r="K25" s="74"/>
      <c r="L25" s="74"/>
      <c r="M25" s="100" t="s">
        <v>16</v>
      </c>
    </row>
    <row r="26" spans="1:13" ht="30" x14ac:dyDescent="0.25">
      <c r="C26" s="113" t="s">
        <v>8</v>
      </c>
      <c r="D26" s="114"/>
      <c r="E26" s="114"/>
      <c r="F26" s="114"/>
      <c r="G26" s="114"/>
      <c r="H26" s="114"/>
      <c r="I26" s="114"/>
      <c r="J26" s="114"/>
      <c r="K26" s="114"/>
      <c r="L26" s="114"/>
      <c r="M26" s="115" t="s">
        <v>19</v>
      </c>
    </row>
    <row r="27" spans="1:13" ht="30" x14ac:dyDescent="0.25">
      <c r="C27" s="113" t="s">
        <v>8</v>
      </c>
      <c r="D27" s="114"/>
      <c r="E27" s="114"/>
      <c r="F27" s="114"/>
      <c r="G27" s="114"/>
      <c r="H27" s="114"/>
      <c r="I27" s="114"/>
      <c r="J27" s="114"/>
      <c r="K27" s="114"/>
      <c r="L27" s="114"/>
      <c r="M27" s="115" t="s">
        <v>20</v>
      </c>
    </row>
    <row r="28" spans="1:13" ht="30" x14ac:dyDescent="0.25">
      <c r="C28" s="113" t="s">
        <v>8</v>
      </c>
      <c r="D28" s="114"/>
      <c r="E28" s="114"/>
      <c r="F28" s="114"/>
      <c r="G28" s="114"/>
      <c r="H28" s="114"/>
      <c r="I28" s="114"/>
      <c r="J28" s="114"/>
      <c r="K28" s="114"/>
      <c r="L28" s="114"/>
      <c r="M28" s="115" t="s">
        <v>21</v>
      </c>
    </row>
    <row r="29" spans="1:13" x14ac:dyDescent="0.25">
      <c r="C29" s="103"/>
      <c r="D29" s="75"/>
      <c r="E29" s="75"/>
      <c r="F29" s="75"/>
      <c r="G29" s="75"/>
      <c r="H29" s="75"/>
      <c r="I29" s="75"/>
      <c r="J29" s="75"/>
      <c r="K29" s="75"/>
      <c r="L29" s="75"/>
      <c r="M29" s="101"/>
    </row>
    <row r="30" spans="1:13" x14ac:dyDescent="0.25">
      <c r="C30" s="102" t="s">
        <v>9</v>
      </c>
      <c r="D30" s="74"/>
      <c r="E30" s="74"/>
      <c r="F30" s="74"/>
      <c r="G30" s="74"/>
      <c r="H30" s="74"/>
      <c r="I30" s="74"/>
      <c r="J30" s="74">
        <f>1/5</f>
        <v>0.2</v>
      </c>
      <c r="K30" s="74"/>
      <c r="L30" s="74"/>
      <c r="M30" s="100" t="s">
        <v>7</v>
      </c>
    </row>
    <row r="31" spans="1:13" ht="30" x14ac:dyDescent="0.25">
      <c r="C31" s="102" t="s">
        <v>9</v>
      </c>
      <c r="D31" s="74"/>
      <c r="E31" s="74"/>
      <c r="F31" s="74"/>
      <c r="G31" s="74"/>
      <c r="H31" s="74">
        <v>1</v>
      </c>
      <c r="I31" s="74"/>
      <c r="J31" s="74"/>
      <c r="K31" s="74"/>
      <c r="L31" s="74"/>
      <c r="M31" s="100" t="s">
        <v>8</v>
      </c>
    </row>
    <row r="32" spans="1:13" x14ac:dyDescent="0.25">
      <c r="C32" s="102" t="s">
        <v>9</v>
      </c>
      <c r="D32" s="74"/>
      <c r="E32" s="74"/>
      <c r="F32" s="74"/>
      <c r="G32" s="74"/>
      <c r="H32" s="74"/>
      <c r="I32" s="74"/>
      <c r="J32" s="74">
        <f t="shared" ref="J32:J37" si="0">1/5</f>
        <v>0.2</v>
      </c>
      <c r="K32" s="74"/>
      <c r="L32" s="74"/>
      <c r="M32" s="100" t="s">
        <v>11</v>
      </c>
    </row>
    <row r="33" spans="3:13" x14ac:dyDescent="0.25">
      <c r="C33" s="102" t="s">
        <v>9</v>
      </c>
      <c r="D33" s="74"/>
      <c r="E33" s="74"/>
      <c r="F33" s="74"/>
      <c r="G33" s="74"/>
      <c r="H33" s="74"/>
      <c r="I33" s="74"/>
      <c r="J33" s="74">
        <f t="shared" si="0"/>
        <v>0.2</v>
      </c>
      <c r="K33" s="74"/>
      <c r="L33" s="74"/>
      <c r="M33" s="100" t="s">
        <v>12</v>
      </c>
    </row>
    <row r="34" spans="3:13" x14ac:dyDescent="0.25">
      <c r="C34" s="102" t="s">
        <v>9</v>
      </c>
      <c r="D34" s="74"/>
      <c r="E34" s="74"/>
      <c r="F34" s="74"/>
      <c r="G34" s="74"/>
      <c r="H34" s="74"/>
      <c r="I34" s="74"/>
      <c r="J34" s="74">
        <f t="shared" si="0"/>
        <v>0.2</v>
      </c>
      <c r="K34" s="74"/>
      <c r="L34" s="74"/>
      <c r="M34" s="100" t="s">
        <v>13</v>
      </c>
    </row>
    <row r="35" spans="3:13" x14ac:dyDescent="0.25">
      <c r="C35" s="102" t="s">
        <v>9</v>
      </c>
      <c r="D35" s="74"/>
      <c r="E35" s="74"/>
      <c r="F35" s="74"/>
      <c r="G35" s="74"/>
      <c r="H35" s="74"/>
      <c r="I35" s="74"/>
      <c r="J35" s="74">
        <f t="shared" si="0"/>
        <v>0.2</v>
      </c>
      <c r="K35" s="74"/>
      <c r="L35" s="74"/>
      <c r="M35" s="100" t="s">
        <v>14</v>
      </c>
    </row>
    <row r="36" spans="3:13" x14ac:dyDescent="0.25">
      <c r="C36" s="102" t="s">
        <v>9</v>
      </c>
      <c r="D36" s="74"/>
      <c r="E36" s="74"/>
      <c r="F36" s="74"/>
      <c r="G36" s="74"/>
      <c r="H36" s="74"/>
      <c r="I36" s="74"/>
      <c r="J36" s="74">
        <f t="shared" si="0"/>
        <v>0.2</v>
      </c>
      <c r="K36" s="74"/>
      <c r="L36" s="74"/>
      <c r="M36" s="100" t="s">
        <v>15</v>
      </c>
    </row>
    <row r="37" spans="3:13" ht="30" x14ac:dyDescent="0.25">
      <c r="C37" s="102" t="s">
        <v>9</v>
      </c>
      <c r="D37" s="74"/>
      <c r="E37" s="74"/>
      <c r="F37" s="74"/>
      <c r="G37" s="74"/>
      <c r="H37" s="74"/>
      <c r="I37" s="74"/>
      <c r="J37" s="74">
        <f t="shared" si="0"/>
        <v>0.2</v>
      </c>
      <c r="K37" s="74"/>
      <c r="L37" s="74"/>
      <c r="M37" s="100" t="s">
        <v>16</v>
      </c>
    </row>
    <row r="38" spans="3:13" x14ac:dyDescent="0.25">
      <c r="C38" s="113" t="s">
        <v>9</v>
      </c>
      <c r="D38" s="114"/>
      <c r="E38" s="114"/>
      <c r="F38" s="114"/>
      <c r="G38" s="114"/>
      <c r="H38" s="114"/>
      <c r="I38" s="114"/>
      <c r="J38" s="114"/>
      <c r="K38" s="114"/>
      <c r="L38" s="114"/>
      <c r="M38" s="115" t="s">
        <v>19</v>
      </c>
    </row>
    <row r="39" spans="3:13" x14ac:dyDescent="0.25">
      <c r="C39" s="113" t="s">
        <v>9</v>
      </c>
      <c r="D39" s="114"/>
      <c r="E39" s="114"/>
      <c r="F39" s="114"/>
      <c r="G39" s="114"/>
      <c r="H39" s="114"/>
      <c r="I39" s="114"/>
      <c r="J39" s="114"/>
      <c r="K39" s="114"/>
      <c r="L39" s="114"/>
      <c r="M39" s="115" t="s">
        <v>20</v>
      </c>
    </row>
    <row r="40" spans="3:13" x14ac:dyDescent="0.25">
      <c r="C40" s="113" t="s">
        <v>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5" t="s">
        <v>21</v>
      </c>
    </row>
    <row r="41" spans="3:13" x14ac:dyDescent="0.25">
      <c r="C41" s="103"/>
      <c r="D41" s="75"/>
      <c r="E41" s="75"/>
      <c r="F41" s="75"/>
      <c r="G41" s="75"/>
      <c r="H41" s="75"/>
      <c r="I41" s="75"/>
      <c r="J41" s="75"/>
      <c r="K41" s="75"/>
      <c r="L41" s="75"/>
      <c r="M41" s="101"/>
    </row>
    <row r="42" spans="3:13" x14ac:dyDescent="0.25">
      <c r="C42" s="102" t="s">
        <v>11</v>
      </c>
      <c r="D42" s="74"/>
      <c r="E42" s="74"/>
      <c r="F42" s="74"/>
      <c r="G42" s="74"/>
      <c r="H42" s="74">
        <v>1</v>
      </c>
      <c r="I42" s="74"/>
      <c r="J42" s="74"/>
      <c r="K42" s="74"/>
      <c r="L42" s="74"/>
      <c r="M42" s="104" t="s">
        <v>7</v>
      </c>
    </row>
    <row r="43" spans="3:13" ht="30" x14ac:dyDescent="0.25">
      <c r="C43" s="102" t="s">
        <v>11</v>
      </c>
      <c r="D43" s="74"/>
      <c r="E43" s="74"/>
      <c r="F43" s="74"/>
      <c r="G43" s="74"/>
      <c r="H43" s="74">
        <v>1</v>
      </c>
      <c r="I43" s="74"/>
      <c r="J43" s="74"/>
      <c r="K43" s="74"/>
      <c r="L43" s="74"/>
      <c r="M43" s="104" t="s">
        <v>8</v>
      </c>
    </row>
    <row r="44" spans="3:13" x14ac:dyDescent="0.25">
      <c r="C44" s="102" t="s">
        <v>11</v>
      </c>
      <c r="D44" s="74"/>
      <c r="E44" s="74"/>
      <c r="F44" s="74">
        <v>5</v>
      </c>
      <c r="G44" s="74"/>
      <c r="H44" s="74"/>
      <c r="I44" s="74"/>
      <c r="J44" s="74"/>
      <c r="K44" s="74"/>
      <c r="L44" s="74"/>
      <c r="M44" s="104" t="s">
        <v>9</v>
      </c>
    </row>
    <row r="45" spans="3:13" x14ac:dyDescent="0.25">
      <c r="C45" s="102" t="s">
        <v>11</v>
      </c>
      <c r="D45" s="74"/>
      <c r="E45" s="74"/>
      <c r="F45" s="74"/>
      <c r="G45" s="74"/>
      <c r="H45" s="74">
        <v>1</v>
      </c>
      <c r="I45" s="74"/>
      <c r="J45" s="74"/>
      <c r="K45" s="74"/>
      <c r="L45" s="74"/>
      <c r="M45" s="104" t="s">
        <v>12</v>
      </c>
    </row>
    <row r="46" spans="3:13" x14ac:dyDescent="0.25">
      <c r="C46" s="102" t="s">
        <v>11</v>
      </c>
      <c r="D46" s="74"/>
      <c r="E46" s="74"/>
      <c r="F46" s="74"/>
      <c r="G46" s="74"/>
      <c r="H46" s="74"/>
      <c r="I46" s="74">
        <f>1/3</f>
        <v>0.33333333333333331</v>
      </c>
      <c r="J46" s="74"/>
      <c r="K46" s="74"/>
      <c r="L46" s="74"/>
      <c r="M46" s="104" t="s">
        <v>13</v>
      </c>
    </row>
    <row r="47" spans="3:13" x14ac:dyDescent="0.25">
      <c r="C47" s="102" t="s">
        <v>11</v>
      </c>
      <c r="D47" s="74"/>
      <c r="E47" s="74"/>
      <c r="F47" s="74"/>
      <c r="G47" s="74"/>
      <c r="H47" s="74"/>
      <c r="I47" s="74">
        <f t="shared" ref="I47:I49" si="1">1/3</f>
        <v>0.33333333333333331</v>
      </c>
      <c r="J47" s="74"/>
      <c r="K47" s="74"/>
      <c r="L47" s="74"/>
      <c r="M47" s="104" t="s">
        <v>14</v>
      </c>
    </row>
    <row r="48" spans="3:13" x14ac:dyDescent="0.25">
      <c r="C48" s="102" t="s">
        <v>11</v>
      </c>
      <c r="D48" s="74"/>
      <c r="E48" s="74"/>
      <c r="F48" s="74"/>
      <c r="G48" s="74"/>
      <c r="H48" s="74"/>
      <c r="I48" s="74">
        <f t="shared" si="1"/>
        <v>0.33333333333333331</v>
      </c>
      <c r="J48" s="74"/>
      <c r="K48" s="74"/>
      <c r="L48" s="74"/>
      <c r="M48" s="104" t="s">
        <v>15</v>
      </c>
    </row>
    <row r="49" spans="3:13" ht="30" x14ac:dyDescent="0.25">
      <c r="C49" s="102" t="s">
        <v>11</v>
      </c>
      <c r="D49" s="74"/>
      <c r="E49" s="74"/>
      <c r="F49" s="74"/>
      <c r="G49" s="74"/>
      <c r="H49" s="74"/>
      <c r="I49" s="74">
        <f t="shared" si="1"/>
        <v>0.33333333333333331</v>
      </c>
      <c r="J49" s="74"/>
      <c r="K49" s="74"/>
      <c r="L49" s="74"/>
      <c r="M49" s="104" t="s">
        <v>16</v>
      </c>
    </row>
    <row r="50" spans="3:13" x14ac:dyDescent="0.25">
      <c r="C50" s="113" t="s">
        <v>11</v>
      </c>
      <c r="D50" s="114"/>
      <c r="E50" s="114"/>
      <c r="F50" s="114"/>
      <c r="G50" s="114"/>
      <c r="H50" s="114"/>
      <c r="I50" s="114"/>
      <c r="J50" s="114"/>
      <c r="K50" s="114"/>
      <c r="L50" s="114"/>
      <c r="M50" s="113" t="s">
        <v>19</v>
      </c>
    </row>
    <row r="51" spans="3:13" x14ac:dyDescent="0.25">
      <c r="C51" s="113" t="s">
        <v>11</v>
      </c>
      <c r="D51" s="114"/>
      <c r="E51" s="114"/>
      <c r="F51" s="114"/>
      <c r="G51" s="114"/>
      <c r="H51" s="114"/>
      <c r="I51" s="114"/>
      <c r="J51" s="114"/>
      <c r="K51" s="114"/>
      <c r="L51" s="114"/>
      <c r="M51" s="113" t="s">
        <v>20</v>
      </c>
    </row>
    <row r="52" spans="3:13" x14ac:dyDescent="0.25">
      <c r="C52" s="113" t="s">
        <v>11</v>
      </c>
      <c r="D52" s="114"/>
      <c r="E52" s="114"/>
      <c r="F52" s="114"/>
      <c r="G52" s="114"/>
      <c r="H52" s="114"/>
      <c r="I52" s="114"/>
      <c r="J52" s="114"/>
      <c r="K52" s="114"/>
      <c r="L52" s="114"/>
      <c r="M52" s="113" t="s">
        <v>21</v>
      </c>
    </row>
    <row r="53" spans="3:13" x14ac:dyDescent="0.25">
      <c r="C53" s="103"/>
      <c r="D53" s="75"/>
      <c r="E53" s="75"/>
      <c r="F53" s="75"/>
      <c r="G53" s="75"/>
      <c r="H53" s="75"/>
      <c r="I53" s="75"/>
      <c r="J53" s="75"/>
      <c r="K53" s="75"/>
      <c r="L53" s="75"/>
      <c r="M53" s="101"/>
    </row>
    <row r="54" spans="3:13" x14ac:dyDescent="0.25">
      <c r="C54" s="102" t="s">
        <v>12</v>
      </c>
      <c r="D54" s="74"/>
      <c r="E54" s="74"/>
      <c r="F54" s="74"/>
      <c r="G54" s="74"/>
      <c r="H54" s="74">
        <v>1</v>
      </c>
      <c r="I54" s="74"/>
      <c r="J54" s="74"/>
      <c r="K54" s="74"/>
      <c r="L54" s="74"/>
      <c r="M54" s="104" t="s">
        <v>7</v>
      </c>
    </row>
    <row r="55" spans="3:13" ht="30" x14ac:dyDescent="0.25">
      <c r="C55" s="102" t="s">
        <v>12</v>
      </c>
      <c r="D55" s="74"/>
      <c r="E55" s="74"/>
      <c r="F55" s="74"/>
      <c r="G55" s="74"/>
      <c r="H55" s="74">
        <v>1</v>
      </c>
      <c r="I55" s="74"/>
      <c r="J55" s="74"/>
      <c r="K55" s="74"/>
      <c r="L55" s="74"/>
      <c r="M55" s="104" t="s">
        <v>8</v>
      </c>
    </row>
    <row r="56" spans="3:13" x14ac:dyDescent="0.25">
      <c r="C56" s="102" t="s">
        <v>12</v>
      </c>
      <c r="D56" s="74"/>
      <c r="E56" s="74"/>
      <c r="F56" s="74">
        <v>5</v>
      </c>
      <c r="G56" s="74"/>
      <c r="H56" s="74"/>
      <c r="I56" s="74"/>
      <c r="J56" s="74"/>
      <c r="K56" s="74"/>
      <c r="L56" s="74"/>
      <c r="M56" s="104" t="s">
        <v>9</v>
      </c>
    </row>
    <row r="57" spans="3:13" x14ac:dyDescent="0.25">
      <c r="C57" s="102" t="s">
        <v>12</v>
      </c>
      <c r="D57" s="74"/>
      <c r="E57" s="74"/>
      <c r="F57" s="74"/>
      <c r="G57" s="74"/>
      <c r="H57" s="74">
        <v>1</v>
      </c>
      <c r="I57" s="74"/>
      <c r="J57" s="74"/>
      <c r="K57" s="74"/>
      <c r="L57" s="74"/>
      <c r="M57" s="104" t="s">
        <v>11</v>
      </c>
    </row>
    <row r="58" spans="3:13" x14ac:dyDescent="0.25">
      <c r="C58" s="102" t="s">
        <v>12</v>
      </c>
      <c r="D58" s="74"/>
      <c r="E58" s="74"/>
      <c r="F58" s="74"/>
      <c r="G58" s="74"/>
      <c r="H58" s="74"/>
      <c r="I58" s="74">
        <f t="shared" ref="I58:I61" si="2">1/3</f>
        <v>0.33333333333333331</v>
      </c>
      <c r="J58" s="74"/>
      <c r="K58" s="74"/>
      <c r="L58" s="74"/>
      <c r="M58" s="104" t="s">
        <v>13</v>
      </c>
    </row>
    <row r="59" spans="3:13" x14ac:dyDescent="0.25">
      <c r="C59" s="102" t="s">
        <v>12</v>
      </c>
      <c r="D59" s="74"/>
      <c r="E59" s="74"/>
      <c r="F59" s="74"/>
      <c r="G59" s="74"/>
      <c r="H59" s="74"/>
      <c r="I59" s="74">
        <f t="shared" si="2"/>
        <v>0.33333333333333331</v>
      </c>
      <c r="J59" s="74"/>
      <c r="K59" s="74"/>
      <c r="L59" s="74"/>
      <c r="M59" s="104" t="s">
        <v>14</v>
      </c>
    </row>
    <row r="60" spans="3:13" x14ac:dyDescent="0.25">
      <c r="C60" s="102" t="s">
        <v>12</v>
      </c>
      <c r="D60" s="74"/>
      <c r="E60" s="74"/>
      <c r="F60" s="74"/>
      <c r="G60" s="74"/>
      <c r="H60" s="74"/>
      <c r="I60" s="74">
        <f t="shared" si="2"/>
        <v>0.33333333333333331</v>
      </c>
      <c r="J60" s="74"/>
      <c r="K60" s="74"/>
      <c r="L60" s="74"/>
      <c r="M60" s="104" t="s">
        <v>15</v>
      </c>
    </row>
    <row r="61" spans="3:13" ht="30" x14ac:dyDescent="0.25">
      <c r="C61" s="102" t="s">
        <v>12</v>
      </c>
      <c r="D61" s="74"/>
      <c r="E61" s="74"/>
      <c r="F61" s="74"/>
      <c r="G61" s="74"/>
      <c r="H61" s="74"/>
      <c r="I61" s="74">
        <f t="shared" si="2"/>
        <v>0.33333333333333331</v>
      </c>
      <c r="J61" s="74"/>
      <c r="K61" s="74"/>
      <c r="L61" s="74"/>
      <c r="M61" s="104" t="s">
        <v>16</v>
      </c>
    </row>
    <row r="62" spans="3:13" x14ac:dyDescent="0.25">
      <c r="C62" s="113" t="s">
        <v>12</v>
      </c>
      <c r="D62" s="114"/>
      <c r="E62" s="114"/>
      <c r="F62" s="114"/>
      <c r="G62" s="114"/>
      <c r="H62" s="114"/>
      <c r="I62" s="114"/>
      <c r="J62" s="114"/>
      <c r="K62" s="114"/>
      <c r="L62" s="114"/>
      <c r="M62" s="113" t="s">
        <v>19</v>
      </c>
    </row>
    <row r="63" spans="3:13" x14ac:dyDescent="0.25">
      <c r="C63" s="113" t="s">
        <v>12</v>
      </c>
      <c r="D63" s="114"/>
      <c r="E63" s="114"/>
      <c r="F63" s="114"/>
      <c r="G63" s="114"/>
      <c r="H63" s="114"/>
      <c r="I63" s="114"/>
      <c r="J63" s="114"/>
      <c r="K63" s="114"/>
      <c r="L63" s="114"/>
      <c r="M63" s="113" t="s">
        <v>20</v>
      </c>
    </row>
    <row r="64" spans="3:13" x14ac:dyDescent="0.25">
      <c r="C64" s="113" t="s">
        <v>12</v>
      </c>
      <c r="D64" s="114"/>
      <c r="E64" s="114"/>
      <c r="F64" s="114"/>
      <c r="G64" s="114"/>
      <c r="H64" s="114"/>
      <c r="I64" s="114"/>
      <c r="J64" s="114"/>
      <c r="K64" s="114"/>
      <c r="L64" s="114"/>
      <c r="M64" s="113" t="s">
        <v>21</v>
      </c>
    </row>
    <row r="65" spans="3:13" x14ac:dyDescent="0.25">
      <c r="C65" s="103"/>
      <c r="D65" s="75"/>
      <c r="E65" s="75"/>
      <c r="F65" s="75"/>
      <c r="G65" s="75"/>
      <c r="H65" s="75"/>
      <c r="I65" s="75"/>
      <c r="J65" s="75"/>
      <c r="K65" s="75"/>
      <c r="L65" s="75"/>
      <c r="M65" s="101"/>
    </row>
    <row r="66" spans="3:13" x14ac:dyDescent="0.25">
      <c r="C66" s="102" t="s">
        <v>13</v>
      </c>
      <c r="D66" s="74"/>
      <c r="E66" s="74"/>
      <c r="F66" s="74"/>
      <c r="G66" s="74"/>
      <c r="H66" s="74"/>
      <c r="I66" s="74">
        <f t="shared" ref="I66" si="3">1/3</f>
        <v>0.33333333333333331</v>
      </c>
      <c r="J66" s="74"/>
      <c r="K66" s="74"/>
      <c r="L66" s="74"/>
      <c r="M66" s="104" t="s">
        <v>7</v>
      </c>
    </row>
    <row r="67" spans="3:13" ht="30" x14ac:dyDescent="0.25">
      <c r="C67" s="102" t="s">
        <v>13</v>
      </c>
      <c r="D67" s="74"/>
      <c r="E67" s="74"/>
      <c r="F67" s="74">
        <v>5</v>
      </c>
      <c r="G67" s="74"/>
      <c r="H67" s="74"/>
      <c r="I67" s="74"/>
      <c r="J67" s="74"/>
      <c r="K67" s="74"/>
      <c r="L67" s="74"/>
      <c r="M67" s="104" t="s">
        <v>8</v>
      </c>
    </row>
    <row r="68" spans="3:13" x14ac:dyDescent="0.25">
      <c r="C68" s="102" t="s">
        <v>13</v>
      </c>
      <c r="D68" s="74"/>
      <c r="E68" s="74"/>
      <c r="F68" s="74">
        <v>5</v>
      </c>
      <c r="G68" s="74"/>
      <c r="H68" s="74"/>
      <c r="I68" s="74"/>
      <c r="J68" s="74"/>
      <c r="K68" s="74"/>
      <c r="L68" s="74"/>
      <c r="M68" s="104" t="s">
        <v>9</v>
      </c>
    </row>
    <row r="69" spans="3:13" x14ac:dyDescent="0.25">
      <c r="C69" s="102" t="s">
        <v>13</v>
      </c>
      <c r="D69" s="74"/>
      <c r="E69" s="74"/>
      <c r="F69" s="74"/>
      <c r="G69" s="74">
        <v>3</v>
      </c>
      <c r="H69" s="74"/>
      <c r="I69" s="74"/>
      <c r="J69" s="74"/>
      <c r="K69" s="74"/>
      <c r="L69" s="74"/>
      <c r="M69" s="104" t="s">
        <v>11</v>
      </c>
    </row>
    <row r="70" spans="3:13" x14ac:dyDescent="0.25">
      <c r="C70" s="102" t="s">
        <v>13</v>
      </c>
      <c r="D70" s="74"/>
      <c r="E70" s="74"/>
      <c r="F70" s="74"/>
      <c r="G70" s="74">
        <v>3</v>
      </c>
      <c r="H70" s="74"/>
      <c r="I70" s="74"/>
      <c r="J70" s="74"/>
      <c r="K70" s="74"/>
      <c r="L70" s="74"/>
      <c r="M70" s="104" t="s">
        <v>12</v>
      </c>
    </row>
    <row r="71" spans="3:13" x14ac:dyDescent="0.25">
      <c r="C71" s="102" t="s">
        <v>13</v>
      </c>
      <c r="D71" s="74"/>
      <c r="E71" s="74"/>
      <c r="F71" s="74"/>
      <c r="G71" s="74"/>
      <c r="H71" s="74">
        <v>1</v>
      </c>
      <c r="I71" s="74"/>
      <c r="J71" s="74"/>
      <c r="K71" s="74"/>
      <c r="L71" s="74"/>
      <c r="M71" s="104" t="s">
        <v>14</v>
      </c>
    </row>
    <row r="72" spans="3:13" x14ac:dyDescent="0.25">
      <c r="C72" s="102" t="s">
        <v>13</v>
      </c>
      <c r="D72" s="74"/>
      <c r="E72" s="74"/>
      <c r="F72" s="74"/>
      <c r="G72" s="74">
        <v>3</v>
      </c>
      <c r="H72" s="74"/>
      <c r="I72" s="74"/>
      <c r="J72" s="74"/>
      <c r="K72" s="74"/>
      <c r="L72" s="74"/>
      <c r="M72" s="104" t="s">
        <v>15</v>
      </c>
    </row>
    <row r="73" spans="3:13" ht="30" x14ac:dyDescent="0.25">
      <c r="C73" s="102" t="s">
        <v>13</v>
      </c>
      <c r="D73" s="74"/>
      <c r="E73" s="74"/>
      <c r="F73" s="74"/>
      <c r="G73" s="74">
        <v>3</v>
      </c>
      <c r="H73" s="74"/>
      <c r="I73" s="74"/>
      <c r="J73" s="74"/>
      <c r="K73" s="74"/>
      <c r="L73" s="74"/>
      <c r="M73" s="104" t="s">
        <v>16</v>
      </c>
    </row>
    <row r="74" spans="3:13" x14ac:dyDescent="0.25">
      <c r="C74" s="113" t="s">
        <v>13</v>
      </c>
      <c r="D74" s="114"/>
      <c r="E74" s="114"/>
      <c r="F74" s="114"/>
      <c r="G74" s="114"/>
      <c r="H74" s="114"/>
      <c r="I74" s="114"/>
      <c r="J74" s="114"/>
      <c r="K74" s="114"/>
      <c r="L74" s="114"/>
      <c r="M74" s="113" t="s">
        <v>19</v>
      </c>
    </row>
    <row r="75" spans="3:13" x14ac:dyDescent="0.25">
      <c r="C75" s="113" t="s">
        <v>13</v>
      </c>
      <c r="D75" s="114"/>
      <c r="E75" s="114"/>
      <c r="F75" s="114"/>
      <c r="G75" s="114"/>
      <c r="H75" s="114"/>
      <c r="I75" s="114"/>
      <c r="J75" s="114"/>
      <c r="K75" s="114"/>
      <c r="L75" s="114"/>
      <c r="M75" s="113" t="s">
        <v>20</v>
      </c>
    </row>
    <row r="76" spans="3:13" x14ac:dyDescent="0.25">
      <c r="C76" s="113" t="s">
        <v>13</v>
      </c>
      <c r="D76" s="114"/>
      <c r="E76" s="114"/>
      <c r="F76" s="114"/>
      <c r="G76" s="114"/>
      <c r="H76" s="114"/>
      <c r="I76" s="114"/>
      <c r="J76" s="114"/>
      <c r="K76" s="114"/>
      <c r="L76" s="114"/>
      <c r="M76" s="113" t="s">
        <v>21</v>
      </c>
    </row>
    <row r="77" spans="3:13" x14ac:dyDescent="0.25">
      <c r="C77" s="103"/>
      <c r="D77" s="75"/>
      <c r="E77" s="75"/>
      <c r="F77" s="75"/>
      <c r="G77" s="75"/>
      <c r="H77" s="75"/>
      <c r="I77" s="75"/>
      <c r="J77" s="75"/>
      <c r="K77" s="75"/>
      <c r="L77" s="75"/>
      <c r="M77" s="101"/>
    </row>
    <row r="78" spans="3:13" x14ac:dyDescent="0.25">
      <c r="C78" s="102" t="s">
        <v>14</v>
      </c>
      <c r="D78" s="74"/>
      <c r="E78" s="74"/>
      <c r="F78" s="74"/>
      <c r="G78" s="74"/>
      <c r="H78" s="74"/>
      <c r="I78" s="74">
        <f t="shared" ref="I78" si="4">1/3</f>
        <v>0.33333333333333331</v>
      </c>
      <c r="J78" s="74"/>
      <c r="K78" s="74"/>
      <c r="L78" s="74"/>
      <c r="M78" s="104" t="s">
        <v>7</v>
      </c>
    </row>
    <row r="79" spans="3:13" ht="30" x14ac:dyDescent="0.25">
      <c r="C79" s="102" t="s">
        <v>14</v>
      </c>
      <c r="D79" s="74"/>
      <c r="E79" s="74"/>
      <c r="F79" s="74">
        <v>5</v>
      </c>
      <c r="G79" s="74"/>
      <c r="H79" s="74"/>
      <c r="I79" s="74"/>
      <c r="J79" s="74"/>
      <c r="K79" s="74"/>
      <c r="L79" s="74"/>
      <c r="M79" s="104" t="s">
        <v>8</v>
      </c>
    </row>
    <row r="80" spans="3:13" x14ac:dyDescent="0.25">
      <c r="C80" s="102" t="s">
        <v>14</v>
      </c>
      <c r="D80" s="74"/>
      <c r="E80" s="74"/>
      <c r="F80" s="74">
        <v>5</v>
      </c>
      <c r="G80" s="74"/>
      <c r="H80" s="74"/>
      <c r="I80" s="74"/>
      <c r="J80" s="74"/>
      <c r="K80" s="74"/>
      <c r="L80" s="74"/>
      <c r="M80" s="104" t="s">
        <v>9</v>
      </c>
    </row>
    <row r="81" spans="3:13" x14ac:dyDescent="0.25">
      <c r="C81" s="102" t="s">
        <v>14</v>
      </c>
      <c r="D81" s="74"/>
      <c r="E81" s="74"/>
      <c r="F81" s="74"/>
      <c r="G81" s="74">
        <v>3</v>
      </c>
      <c r="H81" s="74"/>
      <c r="I81" s="74"/>
      <c r="J81" s="74"/>
      <c r="K81" s="74"/>
      <c r="L81" s="74"/>
      <c r="M81" s="104" t="s">
        <v>11</v>
      </c>
    </row>
    <row r="82" spans="3:13" x14ac:dyDescent="0.25">
      <c r="C82" s="102" t="s">
        <v>14</v>
      </c>
      <c r="D82" s="74"/>
      <c r="E82" s="74"/>
      <c r="F82" s="74"/>
      <c r="G82" s="74">
        <v>3</v>
      </c>
      <c r="H82" s="74"/>
      <c r="I82" s="74"/>
      <c r="J82" s="74"/>
      <c r="K82" s="74"/>
      <c r="L82" s="74"/>
      <c r="M82" s="104" t="s">
        <v>12</v>
      </c>
    </row>
    <row r="83" spans="3:13" x14ac:dyDescent="0.25">
      <c r="C83" s="102" t="s">
        <v>14</v>
      </c>
      <c r="D83" s="74"/>
      <c r="E83" s="74"/>
      <c r="F83" s="74"/>
      <c r="G83" s="74"/>
      <c r="H83" s="74">
        <v>1</v>
      </c>
      <c r="I83" s="74"/>
      <c r="J83" s="74"/>
      <c r="K83" s="74"/>
      <c r="L83" s="74"/>
      <c r="M83" s="104" t="s">
        <v>13</v>
      </c>
    </row>
    <row r="84" spans="3:13" x14ac:dyDescent="0.25">
      <c r="C84" s="102" t="s">
        <v>14</v>
      </c>
      <c r="D84" s="74"/>
      <c r="E84" s="74"/>
      <c r="F84" s="74"/>
      <c r="G84" s="74">
        <v>3</v>
      </c>
      <c r="H84" s="74"/>
      <c r="I84" s="74"/>
      <c r="J84" s="74"/>
      <c r="K84" s="74"/>
      <c r="L84" s="74"/>
      <c r="M84" s="104" t="s">
        <v>15</v>
      </c>
    </row>
    <row r="85" spans="3:13" ht="30" x14ac:dyDescent="0.25">
      <c r="C85" s="102" t="s">
        <v>14</v>
      </c>
      <c r="D85" s="74"/>
      <c r="E85" s="74"/>
      <c r="F85" s="74"/>
      <c r="G85" s="74">
        <v>3</v>
      </c>
      <c r="H85" s="74"/>
      <c r="I85" s="74"/>
      <c r="J85" s="74"/>
      <c r="K85" s="74"/>
      <c r="L85" s="74"/>
      <c r="M85" s="104" t="s">
        <v>16</v>
      </c>
    </row>
    <row r="86" spans="3:13" x14ac:dyDescent="0.25">
      <c r="C86" s="113" t="s">
        <v>14</v>
      </c>
      <c r="D86" s="114"/>
      <c r="E86" s="114"/>
      <c r="F86" s="114"/>
      <c r="G86" s="114"/>
      <c r="H86" s="114"/>
      <c r="I86" s="114"/>
      <c r="J86" s="114"/>
      <c r="K86" s="114"/>
      <c r="L86" s="114"/>
      <c r="M86" s="113" t="s">
        <v>19</v>
      </c>
    </row>
    <row r="87" spans="3:13" x14ac:dyDescent="0.25">
      <c r="C87" s="113" t="s">
        <v>14</v>
      </c>
      <c r="D87" s="114"/>
      <c r="E87" s="114"/>
      <c r="F87" s="114"/>
      <c r="G87" s="114"/>
      <c r="H87" s="114"/>
      <c r="I87" s="114"/>
      <c r="J87" s="114"/>
      <c r="K87" s="114"/>
      <c r="L87" s="114"/>
      <c r="M87" s="113" t="s">
        <v>20</v>
      </c>
    </row>
    <row r="88" spans="3:13" x14ac:dyDescent="0.25">
      <c r="C88" s="113" t="s">
        <v>14</v>
      </c>
      <c r="D88" s="114"/>
      <c r="E88" s="114"/>
      <c r="F88" s="114"/>
      <c r="G88" s="114"/>
      <c r="H88" s="114"/>
      <c r="I88" s="114"/>
      <c r="J88" s="114"/>
      <c r="K88" s="114"/>
      <c r="L88" s="114"/>
      <c r="M88" s="113" t="s">
        <v>21</v>
      </c>
    </row>
    <row r="89" spans="3:13" x14ac:dyDescent="0.25">
      <c r="C89" s="103"/>
      <c r="D89" s="75"/>
      <c r="E89" s="75"/>
      <c r="F89" s="75"/>
      <c r="G89" s="75"/>
      <c r="H89" s="75"/>
      <c r="I89" s="75"/>
      <c r="J89" s="75"/>
      <c r="K89" s="75"/>
      <c r="L89" s="75"/>
      <c r="M89" s="101"/>
    </row>
    <row r="90" spans="3:13" x14ac:dyDescent="0.25">
      <c r="C90" s="102" t="s">
        <v>15</v>
      </c>
      <c r="D90" s="74"/>
      <c r="E90" s="74"/>
      <c r="F90" s="74"/>
      <c r="G90" s="74"/>
      <c r="H90" s="74"/>
      <c r="I90" s="74">
        <f t="shared" ref="I90:I91" si="5">1/3</f>
        <v>0.33333333333333331</v>
      </c>
      <c r="J90" s="74"/>
      <c r="K90" s="74"/>
      <c r="L90" s="74"/>
      <c r="M90" s="104" t="s">
        <v>7</v>
      </c>
    </row>
    <row r="91" spans="3:13" ht="30" x14ac:dyDescent="0.25">
      <c r="C91" s="102" t="s">
        <v>15</v>
      </c>
      <c r="D91" s="74"/>
      <c r="E91" s="74"/>
      <c r="F91" s="74"/>
      <c r="G91" s="74"/>
      <c r="H91" s="74"/>
      <c r="I91" s="74">
        <f t="shared" si="5"/>
        <v>0.33333333333333331</v>
      </c>
      <c r="J91" s="74"/>
      <c r="K91" s="74"/>
      <c r="L91" s="74"/>
      <c r="M91" s="104" t="s">
        <v>8</v>
      </c>
    </row>
    <row r="92" spans="3:13" x14ac:dyDescent="0.25">
      <c r="C92" s="102" t="s">
        <v>15</v>
      </c>
      <c r="D92" s="74"/>
      <c r="E92" s="74"/>
      <c r="F92" s="74"/>
      <c r="G92" s="74">
        <v>3</v>
      </c>
      <c r="H92" s="74"/>
      <c r="I92" s="74"/>
      <c r="J92" s="74"/>
      <c r="K92" s="74"/>
      <c r="L92" s="74"/>
      <c r="M92" s="104" t="s">
        <v>9</v>
      </c>
    </row>
    <row r="93" spans="3:13" x14ac:dyDescent="0.25">
      <c r="C93" s="102" t="s">
        <v>15</v>
      </c>
      <c r="D93" s="74"/>
      <c r="E93" s="74"/>
      <c r="F93" s="74"/>
      <c r="G93" s="74">
        <v>3</v>
      </c>
      <c r="H93" s="74"/>
      <c r="I93" s="74"/>
      <c r="J93" s="74"/>
      <c r="K93" s="74"/>
      <c r="L93" s="74"/>
      <c r="M93" s="104" t="s">
        <v>11</v>
      </c>
    </row>
    <row r="94" spans="3:13" x14ac:dyDescent="0.25">
      <c r="C94" s="102" t="s">
        <v>15</v>
      </c>
      <c r="D94" s="74"/>
      <c r="E94" s="74"/>
      <c r="F94" s="74"/>
      <c r="G94" s="74">
        <v>3</v>
      </c>
      <c r="H94" s="74"/>
      <c r="I94" s="74"/>
      <c r="J94" s="74"/>
      <c r="K94" s="74"/>
      <c r="L94" s="74"/>
      <c r="M94" s="104" t="s">
        <v>12</v>
      </c>
    </row>
    <row r="95" spans="3:13" x14ac:dyDescent="0.25">
      <c r="C95" s="102" t="s">
        <v>15</v>
      </c>
      <c r="D95" s="74"/>
      <c r="E95" s="74"/>
      <c r="F95" s="74"/>
      <c r="G95" s="74"/>
      <c r="H95" s="74"/>
      <c r="I95" s="74">
        <f t="shared" ref="I95:I97" si="6">1/3</f>
        <v>0.33333333333333331</v>
      </c>
      <c r="J95" s="74"/>
      <c r="K95" s="74"/>
      <c r="L95" s="74"/>
      <c r="M95" s="104" t="s">
        <v>13</v>
      </c>
    </row>
    <row r="96" spans="3:13" x14ac:dyDescent="0.25">
      <c r="C96" s="102" t="s">
        <v>15</v>
      </c>
      <c r="D96" s="74"/>
      <c r="E96" s="74"/>
      <c r="F96" s="74"/>
      <c r="G96" s="74"/>
      <c r="H96" s="74"/>
      <c r="I96" s="74">
        <f t="shared" si="6"/>
        <v>0.33333333333333331</v>
      </c>
      <c r="J96" s="74"/>
      <c r="K96" s="74"/>
      <c r="L96" s="74"/>
      <c r="M96" s="104" t="s">
        <v>14</v>
      </c>
    </row>
    <row r="97" spans="3:13" ht="30" x14ac:dyDescent="0.25">
      <c r="C97" s="102" t="s">
        <v>15</v>
      </c>
      <c r="D97" s="74"/>
      <c r="E97" s="74"/>
      <c r="F97" s="74"/>
      <c r="G97" s="74"/>
      <c r="H97" s="74"/>
      <c r="I97" s="74">
        <f t="shared" si="6"/>
        <v>0.33333333333333331</v>
      </c>
      <c r="J97" s="74"/>
      <c r="K97" s="74"/>
      <c r="L97" s="74"/>
      <c r="M97" s="104" t="s">
        <v>16</v>
      </c>
    </row>
    <row r="98" spans="3:13" x14ac:dyDescent="0.25">
      <c r="C98" s="113" t="s">
        <v>15</v>
      </c>
      <c r="D98" s="114"/>
      <c r="E98" s="114"/>
      <c r="F98" s="114"/>
      <c r="G98" s="114"/>
      <c r="H98" s="114"/>
      <c r="I98" s="114"/>
      <c r="J98" s="114"/>
      <c r="K98" s="114"/>
      <c r="L98" s="114"/>
      <c r="M98" s="113" t="s">
        <v>19</v>
      </c>
    </row>
    <row r="99" spans="3:13" x14ac:dyDescent="0.25">
      <c r="C99" s="113" t="s">
        <v>15</v>
      </c>
      <c r="D99" s="114"/>
      <c r="E99" s="114"/>
      <c r="F99" s="114"/>
      <c r="G99" s="114"/>
      <c r="H99" s="114"/>
      <c r="I99" s="114"/>
      <c r="J99" s="114"/>
      <c r="K99" s="114"/>
      <c r="L99" s="114"/>
      <c r="M99" s="113" t="s">
        <v>20</v>
      </c>
    </row>
    <row r="100" spans="3:13" x14ac:dyDescent="0.25">
      <c r="C100" s="113" t="s">
        <v>15</v>
      </c>
      <c r="D100" s="114"/>
      <c r="E100" s="114"/>
      <c r="F100" s="114"/>
      <c r="G100" s="114"/>
      <c r="H100" s="114"/>
      <c r="I100" s="114"/>
      <c r="J100" s="114"/>
      <c r="K100" s="114"/>
      <c r="L100" s="114"/>
      <c r="M100" s="113" t="s">
        <v>21</v>
      </c>
    </row>
    <row r="101" spans="3:13" x14ac:dyDescent="0.25">
      <c r="C101" s="103"/>
      <c r="D101" s="75"/>
      <c r="E101" s="75"/>
      <c r="F101" s="75"/>
      <c r="G101" s="75"/>
      <c r="H101" s="75"/>
      <c r="I101" s="75"/>
      <c r="J101" s="75"/>
      <c r="K101" s="75"/>
      <c r="L101" s="75"/>
      <c r="M101" s="101"/>
    </row>
    <row r="102" spans="3:13" ht="30" x14ac:dyDescent="0.25">
      <c r="C102" s="102" t="s">
        <v>16</v>
      </c>
      <c r="D102" s="74"/>
      <c r="E102" s="74"/>
      <c r="F102" s="74"/>
      <c r="G102" s="74"/>
      <c r="H102" s="74"/>
      <c r="I102" s="74">
        <f t="shared" ref="I102" si="7">1/3</f>
        <v>0.33333333333333331</v>
      </c>
      <c r="J102" s="74"/>
      <c r="K102" s="74"/>
      <c r="L102" s="74"/>
      <c r="M102" s="104" t="s">
        <v>7</v>
      </c>
    </row>
    <row r="103" spans="3:13" ht="30" x14ac:dyDescent="0.25">
      <c r="C103" s="102" t="s">
        <v>16</v>
      </c>
      <c r="D103" s="74"/>
      <c r="E103" s="74"/>
      <c r="F103" s="74"/>
      <c r="G103" s="74">
        <v>3</v>
      </c>
      <c r="H103" s="74"/>
      <c r="I103" s="74"/>
      <c r="J103" s="74"/>
      <c r="K103" s="74"/>
      <c r="L103" s="74"/>
      <c r="M103" s="104" t="s">
        <v>8</v>
      </c>
    </row>
    <row r="104" spans="3:13" ht="30" x14ac:dyDescent="0.25">
      <c r="C104" s="102" t="s">
        <v>16</v>
      </c>
      <c r="D104" s="74"/>
      <c r="E104" s="74"/>
      <c r="F104" s="74">
        <v>5</v>
      </c>
      <c r="G104" s="74"/>
      <c r="H104" s="74"/>
      <c r="I104" s="74"/>
      <c r="J104" s="74"/>
      <c r="K104" s="74"/>
      <c r="L104" s="74"/>
      <c r="M104" s="104" t="s">
        <v>9</v>
      </c>
    </row>
    <row r="105" spans="3:13" ht="30" x14ac:dyDescent="0.25">
      <c r="C105" s="102" t="s">
        <v>16</v>
      </c>
      <c r="D105" s="74"/>
      <c r="E105" s="74"/>
      <c r="F105" s="74"/>
      <c r="G105" s="74">
        <v>3</v>
      </c>
      <c r="H105" s="74"/>
      <c r="I105" s="74"/>
      <c r="J105" s="74"/>
      <c r="K105" s="74"/>
      <c r="L105" s="74"/>
      <c r="M105" s="104" t="s">
        <v>11</v>
      </c>
    </row>
    <row r="106" spans="3:13" ht="30" x14ac:dyDescent="0.25">
      <c r="C106" s="102" t="s">
        <v>16</v>
      </c>
      <c r="D106" s="74"/>
      <c r="E106" s="74"/>
      <c r="F106" s="74"/>
      <c r="G106" s="74">
        <v>3</v>
      </c>
      <c r="H106" s="74"/>
      <c r="I106" s="74"/>
      <c r="J106" s="74"/>
      <c r="K106" s="74"/>
      <c r="L106" s="74"/>
      <c r="M106" s="104" t="s">
        <v>12</v>
      </c>
    </row>
    <row r="107" spans="3:13" ht="30" x14ac:dyDescent="0.25">
      <c r="C107" s="102" t="s">
        <v>16</v>
      </c>
      <c r="D107" s="74"/>
      <c r="E107" s="74"/>
      <c r="F107" s="74"/>
      <c r="G107" s="74"/>
      <c r="H107" s="74"/>
      <c r="I107" s="74">
        <f t="shared" ref="I107:I108" si="8">1/3</f>
        <v>0.33333333333333331</v>
      </c>
      <c r="J107" s="74"/>
      <c r="K107" s="74"/>
      <c r="L107" s="74"/>
      <c r="M107" s="104" t="s">
        <v>13</v>
      </c>
    </row>
    <row r="108" spans="3:13" ht="30" x14ac:dyDescent="0.25">
      <c r="C108" s="102" t="s">
        <v>16</v>
      </c>
      <c r="D108" s="74"/>
      <c r="E108" s="74"/>
      <c r="F108" s="74"/>
      <c r="G108" s="74"/>
      <c r="H108" s="74"/>
      <c r="I108" s="74">
        <f t="shared" si="8"/>
        <v>0.33333333333333331</v>
      </c>
      <c r="J108" s="74"/>
      <c r="K108" s="74"/>
      <c r="L108" s="74"/>
      <c r="M108" s="104" t="s">
        <v>14</v>
      </c>
    </row>
    <row r="109" spans="3:13" ht="30" x14ac:dyDescent="0.25">
      <c r="C109" s="102" t="s">
        <v>16</v>
      </c>
      <c r="D109" s="74"/>
      <c r="E109" s="74"/>
      <c r="F109" s="74"/>
      <c r="G109" s="74">
        <v>3</v>
      </c>
      <c r="H109" s="74"/>
      <c r="I109" s="74"/>
      <c r="J109" s="74"/>
      <c r="K109" s="74"/>
      <c r="L109" s="74"/>
      <c r="M109" s="104" t="s">
        <v>15</v>
      </c>
    </row>
    <row r="110" spans="3:13" ht="30" x14ac:dyDescent="0.25">
      <c r="C110" s="113" t="s">
        <v>16</v>
      </c>
      <c r="D110" s="114"/>
      <c r="E110" s="114"/>
      <c r="F110" s="114"/>
      <c r="G110" s="114"/>
      <c r="H110" s="114"/>
      <c r="I110" s="114"/>
      <c r="J110" s="114"/>
      <c r="K110" s="114"/>
      <c r="L110" s="114"/>
      <c r="M110" s="113" t="s">
        <v>19</v>
      </c>
    </row>
    <row r="111" spans="3:13" ht="30" x14ac:dyDescent="0.25">
      <c r="C111" s="113" t="s">
        <v>16</v>
      </c>
      <c r="D111" s="114"/>
      <c r="E111" s="114"/>
      <c r="F111" s="114"/>
      <c r="G111" s="114"/>
      <c r="H111" s="114"/>
      <c r="I111" s="114"/>
      <c r="J111" s="114"/>
      <c r="K111" s="114"/>
      <c r="L111" s="114"/>
      <c r="M111" s="113" t="s">
        <v>20</v>
      </c>
    </row>
    <row r="112" spans="3:13" ht="30" x14ac:dyDescent="0.25">
      <c r="C112" s="113" t="s">
        <v>16</v>
      </c>
      <c r="D112" s="114"/>
      <c r="E112" s="114"/>
      <c r="F112" s="114"/>
      <c r="G112" s="114"/>
      <c r="H112" s="114"/>
      <c r="I112" s="114"/>
      <c r="J112" s="114"/>
      <c r="K112" s="114"/>
      <c r="L112" s="114"/>
      <c r="M112" s="113" t="s">
        <v>21</v>
      </c>
    </row>
    <row r="113" spans="3:13" x14ac:dyDescent="0.25">
      <c r="C113" s="103"/>
      <c r="D113" s="75"/>
      <c r="E113" s="75"/>
      <c r="F113" s="75"/>
      <c r="G113" s="75"/>
      <c r="H113" s="75"/>
      <c r="I113" s="75"/>
      <c r="J113" s="75"/>
      <c r="K113" s="75"/>
      <c r="L113" s="75"/>
      <c r="M113" s="101"/>
    </row>
    <row r="114" spans="3:13" x14ac:dyDescent="0.25">
      <c r="C114" s="113" t="s">
        <v>19</v>
      </c>
      <c r="D114" s="114"/>
      <c r="E114" s="114"/>
      <c r="F114" s="114"/>
      <c r="G114" s="114"/>
      <c r="H114" s="114"/>
      <c r="I114" s="114"/>
      <c r="J114" s="114"/>
      <c r="K114" s="114"/>
      <c r="L114" s="114"/>
      <c r="M114" s="113" t="s">
        <v>7</v>
      </c>
    </row>
    <row r="115" spans="3:13" ht="30" x14ac:dyDescent="0.25">
      <c r="C115" s="113" t="s">
        <v>19</v>
      </c>
      <c r="D115" s="114"/>
      <c r="E115" s="114"/>
      <c r="F115" s="114"/>
      <c r="G115" s="114"/>
      <c r="H115" s="114"/>
      <c r="I115" s="114"/>
      <c r="J115" s="114"/>
      <c r="K115" s="114"/>
      <c r="L115" s="114"/>
      <c r="M115" s="113" t="s">
        <v>8</v>
      </c>
    </row>
    <row r="116" spans="3:13" x14ac:dyDescent="0.25">
      <c r="C116" s="113" t="s">
        <v>19</v>
      </c>
      <c r="D116" s="114"/>
      <c r="E116" s="114"/>
      <c r="F116" s="114"/>
      <c r="G116" s="114"/>
      <c r="H116" s="114"/>
      <c r="I116" s="114"/>
      <c r="J116" s="114"/>
      <c r="K116" s="114"/>
      <c r="L116" s="114"/>
      <c r="M116" s="113" t="s">
        <v>9</v>
      </c>
    </row>
    <row r="117" spans="3:13" x14ac:dyDescent="0.25">
      <c r="C117" s="113" t="s">
        <v>19</v>
      </c>
      <c r="D117" s="114"/>
      <c r="E117" s="114"/>
      <c r="F117" s="114"/>
      <c r="G117" s="114"/>
      <c r="H117" s="114"/>
      <c r="I117" s="114"/>
      <c r="J117" s="114"/>
      <c r="K117" s="114"/>
      <c r="L117" s="114"/>
      <c r="M117" s="113" t="s">
        <v>11</v>
      </c>
    </row>
    <row r="118" spans="3:13" x14ac:dyDescent="0.25">
      <c r="C118" s="113" t="s">
        <v>19</v>
      </c>
      <c r="D118" s="114"/>
      <c r="E118" s="114"/>
      <c r="F118" s="114"/>
      <c r="G118" s="114"/>
      <c r="H118" s="114"/>
      <c r="I118" s="114"/>
      <c r="J118" s="114"/>
      <c r="K118" s="114"/>
      <c r="L118" s="114"/>
      <c r="M118" s="113" t="s">
        <v>12</v>
      </c>
    </row>
    <row r="119" spans="3:13" x14ac:dyDescent="0.25">
      <c r="C119" s="113" t="s">
        <v>19</v>
      </c>
      <c r="D119" s="114"/>
      <c r="E119" s="114"/>
      <c r="F119" s="114"/>
      <c r="G119" s="114"/>
      <c r="H119" s="114"/>
      <c r="I119" s="114"/>
      <c r="J119" s="114"/>
      <c r="K119" s="114"/>
      <c r="L119" s="114"/>
      <c r="M119" s="113" t="s">
        <v>13</v>
      </c>
    </row>
    <row r="120" spans="3:13" x14ac:dyDescent="0.25">
      <c r="C120" s="113" t="s">
        <v>19</v>
      </c>
      <c r="D120" s="114"/>
      <c r="E120" s="114"/>
      <c r="F120" s="114"/>
      <c r="G120" s="114"/>
      <c r="H120" s="114"/>
      <c r="I120" s="114"/>
      <c r="J120" s="114"/>
      <c r="K120" s="114"/>
      <c r="L120" s="114"/>
      <c r="M120" s="113" t="s">
        <v>14</v>
      </c>
    </row>
    <row r="121" spans="3:13" x14ac:dyDescent="0.25">
      <c r="C121" s="113" t="s">
        <v>19</v>
      </c>
      <c r="D121" s="114"/>
      <c r="E121" s="114"/>
      <c r="F121" s="114"/>
      <c r="G121" s="114"/>
      <c r="H121" s="114"/>
      <c r="I121" s="114"/>
      <c r="J121" s="114"/>
      <c r="K121" s="114"/>
      <c r="L121" s="114"/>
      <c r="M121" s="113" t="s">
        <v>15</v>
      </c>
    </row>
    <row r="122" spans="3:13" ht="30" x14ac:dyDescent="0.25">
      <c r="C122" s="113" t="s">
        <v>19</v>
      </c>
      <c r="D122" s="114"/>
      <c r="E122" s="114"/>
      <c r="F122" s="114"/>
      <c r="G122" s="114"/>
      <c r="H122" s="114"/>
      <c r="I122" s="114"/>
      <c r="J122" s="114"/>
      <c r="K122" s="114"/>
      <c r="L122" s="114"/>
      <c r="M122" s="113" t="s">
        <v>16</v>
      </c>
    </row>
    <row r="123" spans="3:13" x14ac:dyDescent="0.25">
      <c r="C123" s="113" t="s">
        <v>19</v>
      </c>
      <c r="D123" s="114"/>
      <c r="E123" s="114"/>
      <c r="F123" s="114"/>
      <c r="G123" s="114"/>
      <c r="H123" s="114"/>
      <c r="I123" s="114"/>
      <c r="J123" s="114"/>
      <c r="K123" s="114"/>
      <c r="L123" s="114"/>
      <c r="M123" s="113" t="s">
        <v>20</v>
      </c>
    </row>
    <row r="124" spans="3:13" x14ac:dyDescent="0.25">
      <c r="C124" s="113" t="s">
        <v>19</v>
      </c>
      <c r="D124" s="114"/>
      <c r="E124" s="114"/>
      <c r="F124" s="114"/>
      <c r="G124" s="114"/>
      <c r="H124" s="114"/>
      <c r="I124" s="114"/>
      <c r="J124" s="114"/>
      <c r="K124" s="114"/>
      <c r="L124" s="114"/>
      <c r="M124" s="113" t="s">
        <v>21</v>
      </c>
    </row>
    <row r="125" spans="3:13" x14ac:dyDescent="0.25">
      <c r="C125" s="103"/>
      <c r="D125" s="75"/>
      <c r="E125" s="75"/>
      <c r="F125" s="75"/>
      <c r="G125" s="75"/>
      <c r="H125" s="75"/>
      <c r="I125" s="75"/>
      <c r="J125" s="75"/>
      <c r="K125" s="75"/>
      <c r="L125" s="75"/>
      <c r="M125" s="101"/>
    </row>
    <row r="126" spans="3:13" x14ac:dyDescent="0.25">
      <c r="C126" s="113" t="s">
        <v>20</v>
      </c>
      <c r="D126" s="114"/>
      <c r="E126" s="114"/>
      <c r="F126" s="114"/>
      <c r="G126" s="114"/>
      <c r="H126" s="114"/>
      <c r="I126" s="114"/>
      <c r="J126" s="114"/>
      <c r="K126" s="114"/>
      <c r="L126" s="114"/>
      <c r="M126" s="113" t="s">
        <v>7</v>
      </c>
    </row>
    <row r="127" spans="3:13" ht="30" x14ac:dyDescent="0.25">
      <c r="C127" s="113" t="s">
        <v>20</v>
      </c>
      <c r="D127" s="114"/>
      <c r="E127" s="114"/>
      <c r="F127" s="114"/>
      <c r="G127" s="114"/>
      <c r="H127" s="114"/>
      <c r="I127" s="114"/>
      <c r="J127" s="114"/>
      <c r="K127" s="114"/>
      <c r="L127" s="114"/>
      <c r="M127" s="113" t="s">
        <v>8</v>
      </c>
    </row>
    <row r="128" spans="3:13" x14ac:dyDescent="0.25">
      <c r="C128" s="113" t="s">
        <v>20</v>
      </c>
      <c r="D128" s="114"/>
      <c r="E128" s="114"/>
      <c r="F128" s="114"/>
      <c r="G128" s="114"/>
      <c r="H128" s="114"/>
      <c r="I128" s="114"/>
      <c r="J128" s="114"/>
      <c r="K128" s="114"/>
      <c r="L128" s="114"/>
      <c r="M128" s="113" t="s">
        <v>9</v>
      </c>
    </row>
    <row r="129" spans="3:13" x14ac:dyDescent="0.25">
      <c r="C129" s="113" t="s">
        <v>20</v>
      </c>
      <c r="D129" s="114"/>
      <c r="E129" s="114"/>
      <c r="F129" s="114"/>
      <c r="G129" s="114"/>
      <c r="H129" s="114"/>
      <c r="I129" s="114"/>
      <c r="J129" s="114"/>
      <c r="K129" s="114"/>
      <c r="L129" s="114"/>
      <c r="M129" s="113" t="s">
        <v>11</v>
      </c>
    </row>
    <row r="130" spans="3:13" x14ac:dyDescent="0.25">
      <c r="C130" s="113" t="s">
        <v>20</v>
      </c>
      <c r="D130" s="114"/>
      <c r="E130" s="114"/>
      <c r="F130" s="114"/>
      <c r="G130" s="114"/>
      <c r="H130" s="114"/>
      <c r="I130" s="114"/>
      <c r="J130" s="114"/>
      <c r="K130" s="114"/>
      <c r="L130" s="114"/>
      <c r="M130" s="113" t="s">
        <v>12</v>
      </c>
    </row>
    <row r="131" spans="3:13" x14ac:dyDescent="0.25">
      <c r="C131" s="113" t="s">
        <v>20</v>
      </c>
      <c r="D131" s="114"/>
      <c r="E131" s="114"/>
      <c r="F131" s="114"/>
      <c r="G131" s="114"/>
      <c r="H131" s="114"/>
      <c r="I131" s="114"/>
      <c r="J131" s="114"/>
      <c r="K131" s="114"/>
      <c r="L131" s="114"/>
      <c r="M131" s="113" t="s">
        <v>13</v>
      </c>
    </row>
    <row r="132" spans="3:13" x14ac:dyDescent="0.25">
      <c r="C132" s="113" t="s">
        <v>20</v>
      </c>
      <c r="D132" s="114"/>
      <c r="E132" s="114"/>
      <c r="F132" s="114"/>
      <c r="G132" s="114"/>
      <c r="H132" s="114"/>
      <c r="I132" s="114"/>
      <c r="J132" s="114"/>
      <c r="K132" s="114"/>
      <c r="L132" s="114"/>
      <c r="M132" s="113" t="s">
        <v>14</v>
      </c>
    </row>
    <row r="133" spans="3:13" x14ac:dyDescent="0.25">
      <c r="C133" s="113" t="s">
        <v>20</v>
      </c>
      <c r="D133" s="114"/>
      <c r="E133" s="114"/>
      <c r="F133" s="114"/>
      <c r="G133" s="114"/>
      <c r="H133" s="114"/>
      <c r="I133" s="114"/>
      <c r="J133" s="114"/>
      <c r="K133" s="114"/>
      <c r="L133" s="114"/>
      <c r="M133" s="113" t="s">
        <v>15</v>
      </c>
    </row>
    <row r="134" spans="3:13" ht="30" x14ac:dyDescent="0.25">
      <c r="C134" s="113" t="s">
        <v>20</v>
      </c>
      <c r="D134" s="114"/>
      <c r="E134" s="114"/>
      <c r="F134" s="114"/>
      <c r="G134" s="114"/>
      <c r="H134" s="114"/>
      <c r="I134" s="114"/>
      <c r="J134" s="114"/>
      <c r="K134" s="114"/>
      <c r="L134" s="114"/>
      <c r="M134" s="113" t="s">
        <v>16</v>
      </c>
    </row>
    <row r="135" spans="3:13" x14ac:dyDescent="0.25">
      <c r="C135" s="113" t="s">
        <v>20</v>
      </c>
      <c r="D135" s="114"/>
      <c r="E135" s="114"/>
      <c r="F135" s="114"/>
      <c r="G135" s="114"/>
      <c r="H135" s="114"/>
      <c r="I135" s="114"/>
      <c r="J135" s="114"/>
      <c r="K135" s="114"/>
      <c r="L135" s="114"/>
      <c r="M135" s="113" t="s">
        <v>19</v>
      </c>
    </row>
    <row r="136" spans="3:13" x14ac:dyDescent="0.25">
      <c r="C136" s="113" t="s">
        <v>20</v>
      </c>
      <c r="D136" s="114"/>
      <c r="E136" s="114"/>
      <c r="F136" s="114"/>
      <c r="G136" s="114"/>
      <c r="H136" s="114"/>
      <c r="I136" s="114"/>
      <c r="J136" s="114"/>
      <c r="K136" s="114"/>
      <c r="L136" s="114"/>
      <c r="M136" s="113" t="s">
        <v>21</v>
      </c>
    </row>
    <row r="137" spans="3:13" x14ac:dyDescent="0.25">
      <c r="C137" s="103"/>
      <c r="D137" s="75"/>
      <c r="E137" s="75"/>
      <c r="F137" s="75"/>
      <c r="G137" s="75"/>
      <c r="H137" s="75"/>
      <c r="I137" s="75"/>
      <c r="J137" s="75"/>
      <c r="K137" s="75"/>
      <c r="L137" s="75"/>
      <c r="M137" s="101"/>
    </row>
    <row r="138" spans="3:13" x14ac:dyDescent="0.25">
      <c r="C138" s="113" t="s">
        <v>21</v>
      </c>
      <c r="D138" s="114"/>
      <c r="E138" s="114"/>
      <c r="F138" s="114"/>
      <c r="G138" s="114"/>
      <c r="H138" s="114"/>
      <c r="I138" s="114"/>
      <c r="J138" s="114"/>
      <c r="K138" s="114"/>
      <c r="L138" s="114"/>
      <c r="M138" s="113" t="s">
        <v>7</v>
      </c>
    </row>
    <row r="139" spans="3:13" ht="30" x14ac:dyDescent="0.25">
      <c r="C139" s="113" t="s">
        <v>21</v>
      </c>
      <c r="D139" s="114"/>
      <c r="E139" s="114"/>
      <c r="F139" s="114"/>
      <c r="G139" s="114"/>
      <c r="H139" s="114"/>
      <c r="I139" s="114"/>
      <c r="J139" s="114"/>
      <c r="K139" s="114"/>
      <c r="L139" s="114"/>
      <c r="M139" s="113" t="s">
        <v>8</v>
      </c>
    </row>
    <row r="140" spans="3:13" x14ac:dyDescent="0.25">
      <c r="C140" s="113" t="s">
        <v>21</v>
      </c>
      <c r="D140" s="114"/>
      <c r="E140" s="114"/>
      <c r="F140" s="114"/>
      <c r="G140" s="114"/>
      <c r="H140" s="114"/>
      <c r="I140" s="114"/>
      <c r="J140" s="114"/>
      <c r="K140" s="114"/>
      <c r="L140" s="114"/>
      <c r="M140" s="113" t="s">
        <v>9</v>
      </c>
    </row>
    <row r="141" spans="3:13" x14ac:dyDescent="0.25">
      <c r="C141" s="113" t="s">
        <v>21</v>
      </c>
      <c r="D141" s="114"/>
      <c r="E141" s="114"/>
      <c r="F141" s="114"/>
      <c r="G141" s="114"/>
      <c r="H141" s="114"/>
      <c r="I141" s="114"/>
      <c r="J141" s="114"/>
      <c r="K141" s="114"/>
      <c r="L141" s="114"/>
      <c r="M141" s="113" t="s">
        <v>11</v>
      </c>
    </row>
    <row r="142" spans="3:13" x14ac:dyDescent="0.25">
      <c r="C142" s="113" t="s">
        <v>21</v>
      </c>
      <c r="D142" s="114"/>
      <c r="E142" s="114"/>
      <c r="F142" s="114"/>
      <c r="G142" s="114"/>
      <c r="H142" s="114"/>
      <c r="I142" s="114"/>
      <c r="J142" s="114"/>
      <c r="K142" s="114"/>
      <c r="L142" s="114"/>
      <c r="M142" s="113" t="s">
        <v>12</v>
      </c>
    </row>
    <row r="143" spans="3:13" x14ac:dyDescent="0.25">
      <c r="C143" s="113" t="s">
        <v>21</v>
      </c>
      <c r="D143" s="114"/>
      <c r="E143" s="114"/>
      <c r="F143" s="114"/>
      <c r="G143" s="114"/>
      <c r="H143" s="114"/>
      <c r="I143" s="114"/>
      <c r="J143" s="114"/>
      <c r="K143" s="114"/>
      <c r="L143" s="114"/>
      <c r="M143" s="113" t="s">
        <v>13</v>
      </c>
    </row>
    <row r="144" spans="3:13" x14ac:dyDescent="0.25">
      <c r="C144" s="113" t="s">
        <v>21</v>
      </c>
      <c r="D144" s="114"/>
      <c r="E144" s="114"/>
      <c r="F144" s="114"/>
      <c r="G144" s="114"/>
      <c r="H144" s="114"/>
      <c r="I144" s="114"/>
      <c r="J144" s="114"/>
      <c r="K144" s="114"/>
      <c r="L144" s="114"/>
      <c r="M144" s="113" t="s">
        <v>14</v>
      </c>
    </row>
    <row r="145" spans="3:13" x14ac:dyDescent="0.25">
      <c r="C145" s="113" t="s">
        <v>21</v>
      </c>
      <c r="D145" s="114"/>
      <c r="E145" s="114"/>
      <c r="F145" s="114"/>
      <c r="G145" s="114"/>
      <c r="H145" s="114"/>
      <c r="I145" s="114"/>
      <c r="J145" s="114"/>
      <c r="K145" s="114"/>
      <c r="L145" s="114"/>
      <c r="M145" s="113" t="s">
        <v>15</v>
      </c>
    </row>
    <row r="146" spans="3:13" ht="30" x14ac:dyDescent="0.25">
      <c r="C146" s="113" t="s">
        <v>21</v>
      </c>
      <c r="D146" s="114"/>
      <c r="E146" s="114"/>
      <c r="F146" s="114"/>
      <c r="G146" s="114"/>
      <c r="H146" s="114"/>
      <c r="I146" s="114"/>
      <c r="J146" s="114"/>
      <c r="K146" s="114"/>
      <c r="L146" s="114"/>
      <c r="M146" s="113" t="s">
        <v>16</v>
      </c>
    </row>
    <row r="147" spans="3:13" x14ac:dyDescent="0.25">
      <c r="C147" s="113" t="s">
        <v>21</v>
      </c>
      <c r="D147" s="114"/>
      <c r="E147" s="114"/>
      <c r="F147" s="114"/>
      <c r="G147" s="114"/>
      <c r="H147" s="114"/>
      <c r="I147" s="114"/>
      <c r="J147" s="114"/>
      <c r="K147" s="114"/>
      <c r="L147" s="114"/>
      <c r="M147" s="113" t="s">
        <v>19</v>
      </c>
    </row>
    <row r="148" spans="3:13" x14ac:dyDescent="0.25">
      <c r="C148" s="113" t="s">
        <v>21</v>
      </c>
      <c r="D148" s="114"/>
      <c r="E148" s="114"/>
      <c r="F148" s="114"/>
      <c r="G148" s="114"/>
      <c r="H148" s="114"/>
      <c r="I148" s="114"/>
      <c r="J148" s="114"/>
      <c r="K148" s="114"/>
      <c r="L148" s="114"/>
      <c r="M148" s="113" t="s">
        <v>20</v>
      </c>
    </row>
  </sheetData>
  <mergeCells count="1">
    <mergeCell ref="D3:L3"/>
  </mergeCells>
  <pageMargins left="0.7" right="0.7" top="0.75" bottom="0.75" header="0.3" footer="0.3"/>
  <pageSetup paperSize="9" scale="72" orientation="landscape" r:id="rId1"/>
  <rowBreaks count="1" manualBreakCount="1">
    <brk id="137" max="12" man="1"/>
  </rowBreaks>
  <colBreaks count="2" manualBreakCount="2">
    <brk id="2" max="147" man="1"/>
    <brk id="13" max="14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8"/>
  <sheetViews>
    <sheetView topLeftCell="A28" zoomScale="85" zoomScaleNormal="85" zoomScaleSheetLayoutView="100" workbookViewId="0">
      <selection activeCell="C29" sqref="C29:C37"/>
    </sheetView>
  </sheetViews>
  <sheetFormatPr defaultRowHeight="15" x14ac:dyDescent="0.25"/>
  <cols>
    <col min="1" max="1" width="22.140625" customWidth="1"/>
    <col min="2" max="9" width="18.42578125" customWidth="1"/>
    <col min="10" max="10" width="20.140625" customWidth="1"/>
    <col min="11" max="11" width="4.42578125" customWidth="1"/>
    <col min="12" max="12" width="11.28515625" customWidth="1"/>
    <col min="13" max="13" width="48.7109375" style="98" customWidth="1"/>
    <col min="23" max="23" width="50.140625" style="77" customWidth="1"/>
  </cols>
  <sheetData>
    <row r="1" spans="1:23" x14ac:dyDescent="0.25">
      <c r="K1" s="65"/>
      <c r="L1" s="65"/>
    </row>
    <row r="2" spans="1:23" ht="15.75" x14ac:dyDescent="0.25">
      <c r="K2" s="111" t="s">
        <v>80</v>
      </c>
      <c r="L2" s="110"/>
    </row>
    <row r="3" spans="1:23" s="65" customFormat="1" x14ac:dyDescent="0.25">
      <c r="K3" s="64"/>
      <c r="M3" s="98"/>
      <c r="N3" s="313" t="s">
        <v>75</v>
      </c>
      <c r="O3" s="313"/>
      <c r="P3" s="313"/>
      <c r="Q3" s="313"/>
      <c r="R3" s="313"/>
      <c r="S3" s="313"/>
      <c r="T3" s="313"/>
      <c r="U3" s="313"/>
      <c r="V3" s="313"/>
      <c r="W3" s="99"/>
    </row>
    <row r="4" spans="1:23" ht="75" x14ac:dyDescent="0.25">
      <c r="A4" s="131" t="s">
        <v>79</v>
      </c>
      <c r="B4" s="130" t="s">
        <v>7</v>
      </c>
      <c r="C4" s="130" t="s">
        <v>8</v>
      </c>
      <c r="D4" s="130" t="s">
        <v>9</v>
      </c>
      <c r="E4" s="130" t="s">
        <v>11</v>
      </c>
      <c r="F4" s="130" t="s">
        <v>12</v>
      </c>
      <c r="G4" s="130" t="s">
        <v>13</v>
      </c>
      <c r="H4" s="130" t="s">
        <v>14</v>
      </c>
      <c r="I4" s="130" t="s">
        <v>15</v>
      </c>
      <c r="J4" s="130" t="s">
        <v>16</v>
      </c>
      <c r="N4" s="68" t="s">
        <v>74</v>
      </c>
      <c r="O4" s="68" t="s">
        <v>73</v>
      </c>
      <c r="P4" s="68" t="s">
        <v>72</v>
      </c>
      <c r="Q4" s="68" t="s">
        <v>71</v>
      </c>
      <c r="R4" s="69" t="s">
        <v>70</v>
      </c>
      <c r="S4" s="68" t="str">
        <f>Q4</f>
        <v>Slightly favors</v>
      </c>
      <c r="T4" s="68" t="str">
        <f>P4</f>
        <v>Strongly favors</v>
      </c>
      <c r="U4" s="68" t="str">
        <f>O4</f>
        <v>Very strong favor</v>
      </c>
      <c r="V4" s="68" t="str">
        <f>N4</f>
        <v>Extreme favors</v>
      </c>
    </row>
    <row r="5" spans="1:23" ht="45" x14ac:dyDescent="0.25">
      <c r="A5" s="77" t="s">
        <v>7</v>
      </c>
      <c r="B5" s="119">
        <v>1</v>
      </c>
      <c r="C5" s="112">
        <v>5</v>
      </c>
      <c r="D5" s="112">
        <v>5</v>
      </c>
      <c r="E5" s="112">
        <v>1</v>
      </c>
      <c r="F5" s="133">
        <v>1</v>
      </c>
      <c r="G5" s="133">
        <v>3</v>
      </c>
      <c r="H5" s="133">
        <v>3</v>
      </c>
      <c r="I5" s="133">
        <v>3</v>
      </c>
      <c r="J5" s="133">
        <v>3</v>
      </c>
      <c r="N5" s="70">
        <v>9</v>
      </c>
      <c r="O5" s="70">
        <v>7</v>
      </c>
      <c r="P5" s="70">
        <v>5</v>
      </c>
      <c r="Q5" s="70">
        <v>3</v>
      </c>
      <c r="R5" s="72">
        <v>1</v>
      </c>
      <c r="S5" s="70">
        <v>3</v>
      </c>
      <c r="T5" s="70">
        <v>5</v>
      </c>
      <c r="U5" s="70">
        <v>7</v>
      </c>
      <c r="V5" s="70">
        <v>9</v>
      </c>
    </row>
    <row r="6" spans="1:23" ht="60" x14ac:dyDescent="0.25">
      <c r="A6" s="77" t="s">
        <v>8</v>
      </c>
      <c r="B6" s="62">
        <f>T18</f>
        <v>0.2</v>
      </c>
      <c r="C6" s="119">
        <v>1</v>
      </c>
      <c r="D6" s="62">
        <f>R19</f>
        <v>1</v>
      </c>
      <c r="E6" s="62">
        <f>R20</f>
        <v>1</v>
      </c>
      <c r="F6" s="62">
        <f>R21</f>
        <v>1</v>
      </c>
      <c r="G6" s="62">
        <f>T22</f>
        <v>0.2</v>
      </c>
      <c r="H6" s="62">
        <f>T23</f>
        <v>0.2</v>
      </c>
      <c r="I6" s="62">
        <f>T24</f>
        <v>0.2</v>
      </c>
      <c r="J6" s="62">
        <f>T25</f>
        <v>0.2</v>
      </c>
      <c r="K6" s="108" t="s">
        <v>6</v>
      </c>
      <c r="L6" s="60"/>
      <c r="M6" s="102" t="s">
        <v>7</v>
      </c>
      <c r="N6" s="74"/>
      <c r="O6" s="74"/>
      <c r="P6" s="74">
        <v>5</v>
      </c>
      <c r="Q6" s="74"/>
      <c r="R6" s="74"/>
      <c r="S6" s="74"/>
      <c r="T6" s="74"/>
      <c r="U6" s="74"/>
      <c r="V6" s="74"/>
      <c r="W6" s="100" t="s">
        <v>8</v>
      </c>
    </row>
    <row r="7" spans="1:23" x14ac:dyDescent="0.25">
      <c r="A7" s="77" t="s">
        <v>9</v>
      </c>
      <c r="B7" s="62">
        <f>T30</f>
        <v>0.2</v>
      </c>
      <c r="C7" s="62">
        <f>R31</f>
        <v>1</v>
      </c>
      <c r="D7" s="119">
        <v>1</v>
      </c>
      <c r="E7" s="62">
        <f>T32</f>
        <v>0.2</v>
      </c>
      <c r="F7" s="62">
        <f>T33</f>
        <v>0.2</v>
      </c>
      <c r="G7" s="62">
        <f>T34</f>
        <v>0.2</v>
      </c>
      <c r="H7" s="62">
        <f>T35</f>
        <v>0.2</v>
      </c>
      <c r="I7" s="62">
        <f>T36</f>
        <v>0.2</v>
      </c>
      <c r="J7" s="62">
        <f>T37</f>
        <v>0.2</v>
      </c>
      <c r="K7" s="62">
        <v>1</v>
      </c>
      <c r="L7" t="s">
        <v>7</v>
      </c>
      <c r="M7" s="102" t="s">
        <v>7</v>
      </c>
      <c r="N7" s="74"/>
      <c r="O7" s="74"/>
      <c r="P7" s="74">
        <v>5</v>
      </c>
      <c r="Q7" s="74"/>
      <c r="R7" s="74"/>
      <c r="S7" s="74"/>
      <c r="T7" s="74"/>
      <c r="U7" s="74"/>
      <c r="V7" s="74"/>
      <c r="W7" s="100" t="s">
        <v>9</v>
      </c>
    </row>
    <row r="8" spans="1:23" x14ac:dyDescent="0.25">
      <c r="A8" s="77" t="s">
        <v>11</v>
      </c>
      <c r="B8" s="62">
        <f>R42</f>
        <v>1</v>
      </c>
      <c r="C8" s="62">
        <f>R43</f>
        <v>1</v>
      </c>
      <c r="D8" s="62">
        <f>P44</f>
        <v>5</v>
      </c>
      <c r="E8" s="119">
        <v>1</v>
      </c>
      <c r="F8" s="62">
        <f>R45</f>
        <v>1</v>
      </c>
      <c r="G8" s="62">
        <f>S46</f>
        <v>0.33333333333333331</v>
      </c>
      <c r="H8" s="62">
        <f>S47</f>
        <v>0.33333333333333331</v>
      </c>
      <c r="I8" s="62">
        <f>S48</f>
        <v>0.33333333333333331</v>
      </c>
      <c r="J8" s="62">
        <f>S49</f>
        <v>0.33333333333333331</v>
      </c>
      <c r="K8" s="62">
        <v>2</v>
      </c>
      <c r="L8" t="s">
        <v>8</v>
      </c>
      <c r="M8" s="102" t="s">
        <v>7</v>
      </c>
      <c r="N8" s="74"/>
      <c r="O8" s="74"/>
      <c r="P8" s="74"/>
      <c r="Q8" s="74"/>
      <c r="R8" s="74">
        <v>1</v>
      </c>
      <c r="S8" s="74"/>
      <c r="T8" s="74"/>
      <c r="U8" s="74"/>
      <c r="V8" s="74"/>
      <c r="W8" s="100" t="s">
        <v>11</v>
      </c>
    </row>
    <row r="9" spans="1:23" x14ac:dyDescent="0.25">
      <c r="A9" s="77" t="s">
        <v>12</v>
      </c>
      <c r="B9" s="62">
        <f>R54</f>
        <v>1</v>
      </c>
      <c r="C9" s="62">
        <f>R55</f>
        <v>1</v>
      </c>
      <c r="D9" s="62">
        <f>P56</f>
        <v>5</v>
      </c>
      <c r="E9" s="62">
        <f>R57</f>
        <v>1</v>
      </c>
      <c r="F9" s="119">
        <v>1</v>
      </c>
      <c r="G9" s="62">
        <f>S58</f>
        <v>0.33333333333333331</v>
      </c>
      <c r="H9" s="62">
        <f>S59</f>
        <v>0.33333333333333331</v>
      </c>
      <c r="I9" s="62">
        <f>S60</f>
        <v>0.33333333333333331</v>
      </c>
      <c r="J9" s="62">
        <f>S61</f>
        <v>0.33333333333333331</v>
      </c>
      <c r="K9" s="62">
        <v>3</v>
      </c>
      <c r="L9" t="s">
        <v>9</v>
      </c>
      <c r="M9" s="102" t="s">
        <v>7</v>
      </c>
      <c r="N9" s="74"/>
      <c r="O9" s="74"/>
      <c r="P9" s="74"/>
      <c r="Q9" s="74"/>
      <c r="R9" s="74">
        <v>1</v>
      </c>
      <c r="S9" s="74"/>
      <c r="T9" s="74"/>
      <c r="U9" s="74"/>
      <c r="V9" s="74"/>
      <c r="W9" s="100" t="s">
        <v>12</v>
      </c>
    </row>
    <row r="10" spans="1:23" x14ac:dyDescent="0.25">
      <c r="A10" s="77" t="s">
        <v>13</v>
      </c>
      <c r="B10" s="62">
        <f>S66</f>
        <v>0.33333333333333331</v>
      </c>
      <c r="C10" s="62">
        <f>P67</f>
        <v>5</v>
      </c>
      <c r="D10" s="62">
        <f>P68</f>
        <v>5</v>
      </c>
      <c r="E10" s="62">
        <f>Q69</f>
        <v>3</v>
      </c>
      <c r="F10" s="62">
        <f>Q70</f>
        <v>3</v>
      </c>
      <c r="G10" s="119">
        <v>1</v>
      </c>
      <c r="H10" s="62">
        <f>R71</f>
        <v>1</v>
      </c>
      <c r="I10" s="62">
        <f>Q72</f>
        <v>3</v>
      </c>
      <c r="J10" s="62">
        <f>Q73</f>
        <v>3</v>
      </c>
      <c r="K10" s="62">
        <v>4</v>
      </c>
      <c r="L10" t="s">
        <v>11</v>
      </c>
      <c r="M10" s="102" t="s">
        <v>7</v>
      </c>
      <c r="N10" s="74"/>
      <c r="O10" s="74"/>
      <c r="P10" s="74"/>
      <c r="Q10" s="74">
        <v>3</v>
      </c>
      <c r="R10" s="74"/>
      <c r="S10" s="74"/>
      <c r="T10" s="74"/>
      <c r="U10" s="74"/>
      <c r="V10" s="74"/>
      <c r="W10" s="100" t="s">
        <v>13</v>
      </c>
    </row>
    <row r="11" spans="1:23" x14ac:dyDescent="0.25">
      <c r="A11" s="77" t="s">
        <v>14</v>
      </c>
      <c r="B11" s="62">
        <f>S78</f>
        <v>0.33333333333333331</v>
      </c>
      <c r="C11" s="62">
        <f>P79</f>
        <v>5</v>
      </c>
      <c r="D11" s="62">
        <f>P80</f>
        <v>5</v>
      </c>
      <c r="E11" s="62">
        <f>Q81</f>
        <v>3</v>
      </c>
      <c r="F11" s="62">
        <f>Q82</f>
        <v>3</v>
      </c>
      <c r="G11" s="62">
        <f>R83</f>
        <v>1</v>
      </c>
      <c r="H11" s="119">
        <v>1</v>
      </c>
      <c r="I11" s="62">
        <f>Q84</f>
        <v>3</v>
      </c>
      <c r="J11" s="62">
        <f>Q85</f>
        <v>3</v>
      </c>
      <c r="K11" s="62">
        <v>5</v>
      </c>
      <c r="L11" t="s">
        <v>12</v>
      </c>
      <c r="M11" s="102" t="s">
        <v>7</v>
      </c>
      <c r="N11" s="74"/>
      <c r="O11" s="74"/>
      <c r="P11" s="74"/>
      <c r="Q11" s="74">
        <v>3</v>
      </c>
      <c r="R11" s="74"/>
      <c r="S11" s="74"/>
      <c r="T11" s="74"/>
      <c r="U11" s="74"/>
      <c r="V11" s="74"/>
      <c r="W11" s="100" t="s">
        <v>14</v>
      </c>
    </row>
    <row r="12" spans="1:23" ht="30" x14ac:dyDescent="0.25">
      <c r="A12" s="99" t="s">
        <v>15</v>
      </c>
      <c r="B12" s="62">
        <f>S90</f>
        <v>0.33333333333333331</v>
      </c>
      <c r="C12" s="62">
        <f>S91</f>
        <v>0.33333333333333331</v>
      </c>
      <c r="D12" s="62">
        <f>Q92</f>
        <v>3</v>
      </c>
      <c r="E12" s="62">
        <f>Q93</f>
        <v>3</v>
      </c>
      <c r="F12" s="62">
        <f>Q94</f>
        <v>3</v>
      </c>
      <c r="G12" s="62">
        <f>S95</f>
        <v>0.33333333333333331</v>
      </c>
      <c r="H12" s="62">
        <f>S96</f>
        <v>0.33333333333333331</v>
      </c>
      <c r="I12" s="119">
        <v>1</v>
      </c>
      <c r="J12" s="62">
        <f>S97</f>
        <v>0.33333333333333331</v>
      </c>
      <c r="K12" s="62">
        <v>6</v>
      </c>
      <c r="L12" t="s">
        <v>13</v>
      </c>
      <c r="M12" s="102" t="s">
        <v>7</v>
      </c>
      <c r="N12" s="74"/>
      <c r="O12" s="74"/>
      <c r="P12" s="74"/>
      <c r="Q12" s="74">
        <v>3</v>
      </c>
      <c r="R12" s="74"/>
      <c r="S12" s="74"/>
      <c r="T12" s="74"/>
      <c r="U12" s="74"/>
      <c r="V12" s="74"/>
      <c r="W12" s="100" t="s">
        <v>15</v>
      </c>
    </row>
    <row r="13" spans="1:23" ht="45" x14ac:dyDescent="0.25">
      <c r="A13" s="99" t="s">
        <v>16</v>
      </c>
      <c r="B13" s="62">
        <f>S102</f>
        <v>0.33333333333333331</v>
      </c>
      <c r="C13" s="62">
        <f>Q103</f>
        <v>3</v>
      </c>
      <c r="D13" s="62">
        <f>P104</f>
        <v>5</v>
      </c>
      <c r="E13" s="62">
        <f>Q105</f>
        <v>3</v>
      </c>
      <c r="F13" s="62">
        <f>Q106</f>
        <v>3</v>
      </c>
      <c r="G13" s="62">
        <f>S107</f>
        <v>0.33333333333333331</v>
      </c>
      <c r="H13" s="62">
        <f>S108</f>
        <v>0.33333333333333331</v>
      </c>
      <c r="I13" s="62">
        <f>Q109</f>
        <v>3</v>
      </c>
      <c r="J13" s="119">
        <v>1</v>
      </c>
      <c r="K13" s="62">
        <v>7</v>
      </c>
      <c r="L13" t="s">
        <v>14</v>
      </c>
      <c r="M13" s="102" t="s">
        <v>7</v>
      </c>
      <c r="N13" s="74"/>
      <c r="O13" s="74"/>
      <c r="P13" s="74"/>
      <c r="Q13" s="74">
        <v>3</v>
      </c>
      <c r="R13" s="74"/>
      <c r="S13" s="74"/>
      <c r="T13" s="74"/>
      <c r="U13" s="74"/>
      <c r="V13" s="74"/>
      <c r="W13" s="100" t="s">
        <v>16</v>
      </c>
    </row>
    <row r="14" spans="1:23" x14ac:dyDescent="0.25">
      <c r="A14" s="124" t="s">
        <v>81</v>
      </c>
      <c r="B14" s="134">
        <f>SUM(B5:B13)</f>
        <v>4.7333333333333325</v>
      </c>
      <c r="C14" s="134">
        <f t="shared" ref="C14:J14" si="0">SUM(C5:C13)</f>
        <v>22.333333333333332</v>
      </c>
      <c r="D14" s="134">
        <f t="shared" si="0"/>
        <v>35</v>
      </c>
      <c r="E14" s="134">
        <f t="shared" si="0"/>
        <v>16.2</v>
      </c>
      <c r="F14" s="134">
        <f t="shared" si="0"/>
        <v>16.2</v>
      </c>
      <c r="G14" s="134">
        <f t="shared" si="0"/>
        <v>6.7333333333333334</v>
      </c>
      <c r="H14" s="134">
        <f t="shared" si="0"/>
        <v>6.7333333333333334</v>
      </c>
      <c r="I14" s="134">
        <f t="shared" si="0"/>
        <v>14.066666666666666</v>
      </c>
      <c r="J14" s="134">
        <f t="shared" si="0"/>
        <v>11.4</v>
      </c>
      <c r="K14" s="112">
        <v>8</v>
      </c>
      <c r="L14" s="65" t="s">
        <v>15</v>
      </c>
      <c r="M14" s="113" t="s">
        <v>7</v>
      </c>
      <c r="N14" s="114"/>
      <c r="O14" s="114"/>
      <c r="P14" s="114"/>
      <c r="Q14" s="114"/>
      <c r="R14" s="114"/>
      <c r="S14" s="114"/>
      <c r="T14" s="114"/>
      <c r="U14" s="114"/>
      <c r="V14" s="114"/>
      <c r="W14" s="115" t="s">
        <v>19</v>
      </c>
    </row>
    <row r="15" spans="1:23" x14ac:dyDescent="0.25">
      <c r="K15" s="112">
        <v>9</v>
      </c>
      <c r="L15" s="65" t="s">
        <v>16</v>
      </c>
      <c r="M15" s="113" t="s">
        <v>7</v>
      </c>
      <c r="N15" s="114"/>
      <c r="O15" s="114"/>
      <c r="P15" s="114"/>
      <c r="Q15" s="114"/>
      <c r="R15" s="114"/>
      <c r="S15" s="114"/>
      <c r="T15" s="114"/>
      <c r="U15" s="114"/>
      <c r="V15" s="114"/>
      <c r="W15" s="115" t="s">
        <v>20</v>
      </c>
    </row>
    <row r="16" spans="1:23" ht="75" x14ac:dyDescent="0.25">
      <c r="A16" s="131" t="s">
        <v>79</v>
      </c>
      <c r="B16" s="130" t="s">
        <v>7</v>
      </c>
      <c r="C16" s="130" t="s">
        <v>8</v>
      </c>
      <c r="D16" s="130" t="s">
        <v>9</v>
      </c>
      <c r="E16" s="130" t="s">
        <v>11</v>
      </c>
      <c r="F16" s="130" t="s">
        <v>12</v>
      </c>
      <c r="G16" s="130" t="s">
        <v>13</v>
      </c>
      <c r="H16" s="130" t="s">
        <v>14</v>
      </c>
      <c r="I16" s="130" t="s">
        <v>15</v>
      </c>
      <c r="J16" s="130" t="s">
        <v>16</v>
      </c>
      <c r="K16" s="128">
        <v>10</v>
      </c>
      <c r="L16" s="129" t="s">
        <v>19</v>
      </c>
      <c r="M16" s="113" t="s">
        <v>7</v>
      </c>
      <c r="N16" s="114"/>
      <c r="O16" s="114"/>
      <c r="P16" s="114"/>
      <c r="Q16" s="114"/>
      <c r="R16" s="114"/>
      <c r="S16" s="114"/>
      <c r="T16" s="114"/>
      <c r="U16" s="114"/>
      <c r="V16" s="114"/>
      <c r="W16" s="115" t="s">
        <v>21</v>
      </c>
    </row>
    <row r="17" spans="1:23" ht="45" x14ac:dyDescent="0.25">
      <c r="A17" s="77" t="s">
        <v>7</v>
      </c>
      <c r="B17" s="135">
        <f>B5/$B$14</f>
        <v>0.21126760563380284</v>
      </c>
      <c r="C17" s="112">
        <f>C5/$C$14</f>
        <v>0.22388059701492538</v>
      </c>
      <c r="D17" s="112">
        <f>D5/$D$14</f>
        <v>0.14285714285714285</v>
      </c>
      <c r="E17" s="112">
        <f>E5/$E$14</f>
        <v>6.1728395061728399E-2</v>
      </c>
      <c r="F17" s="112">
        <f>F5/$F$14</f>
        <v>6.1728395061728399E-2</v>
      </c>
      <c r="G17" s="112">
        <f>G5/$G$14</f>
        <v>0.44554455445544555</v>
      </c>
      <c r="H17" s="112">
        <f>H5/$H$14</f>
        <v>0.44554455445544555</v>
      </c>
      <c r="I17" s="112">
        <f>I5/$I$14</f>
        <v>0.2132701421800948</v>
      </c>
      <c r="J17" s="112">
        <f>J5/$J$14</f>
        <v>0.26315789473684209</v>
      </c>
      <c r="K17" s="128">
        <v>11</v>
      </c>
      <c r="L17" s="129" t="s">
        <v>20</v>
      </c>
      <c r="M17" s="103"/>
      <c r="N17" s="75"/>
      <c r="O17" s="75"/>
      <c r="P17" s="75"/>
      <c r="Q17" s="75"/>
      <c r="R17" s="75"/>
      <c r="S17" s="75"/>
      <c r="T17" s="75"/>
      <c r="U17" s="75"/>
      <c r="V17" s="75"/>
      <c r="W17" s="101"/>
    </row>
    <row r="18" spans="1:23" ht="60" x14ac:dyDescent="0.25">
      <c r="A18" s="77" t="s">
        <v>8</v>
      </c>
      <c r="B18" s="112">
        <f t="shared" ref="B18:B25" si="1">B6/$B$14</f>
        <v>4.2253521126760576E-2</v>
      </c>
      <c r="C18" s="135">
        <f t="shared" ref="C18:C25" si="2">C6/$C$14</f>
        <v>4.4776119402985079E-2</v>
      </c>
      <c r="D18" s="112">
        <f t="shared" ref="D18:D25" si="3">D6/$D$14</f>
        <v>2.8571428571428571E-2</v>
      </c>
      <c r="E18" s="112">
        <f t="shared" ref="E18:E25" si="4">E6/$E$14</f>
        <v>6.1728395061728399E-2</v>
      </c>
      <c r="F18" s="112">
        <f t="shared" ref="F18:F25" si="5">F6/$F$14</f>
        <v>6.1728395061728399E-2</v>
      </c>
      <c r="G18" s="112">
        <f t="shared" ref="G18:G25" si="6">G6/$G$14</f>
        <v>2.9702970297029705E-2</v>
      </c>
      <c r="H18" s="112">
        <f t="shared" ref="H18:H25" si="7">H6/$H$14</f>
        <v>2.9702970297029705E-2</v>
      </c>
      <c r="I18" s="112">
        <f t="shared" ref="I18:I25" si="8">I6/$I$14</f>
        <v>1.4218009478672987E-2</v>
      </c>
      <c r="J18" s="112">
        <f t="shared" ref="J18:J25" si="9">J6/$J$14</f>
        <v>1.7543859649122806E-2</v>
      </c>
      <c r="K18" s="128">
        <v>12</v>
      </c>
      <c r="L18" s="129" t="s">
        <v>21</v>
      </c>
      <c r="M18" s="102" t="s">
        <v>8</v>
      </c>
      <c r="N18" s="74"/>
      <c r="O18" s="74"/>
      <c r="P18" s="74"/>
      <c r="Q18" s="74"/>
      <c r="R18" s="74"/>
      <c r="S18" s="74"/>
      <c r="T18" s="74">
        <f>1/5</f>
        <v>0.2</v>
      </c>
      <c r="U18" s="74"/>
      <c r="V18" s="74"/>
      <c r="W18" s="100" t="s">
        <v>7</v>
      </c>
    </row>
    <row r="19" spans="1:23" ht="30" x14ac:dyDescent="0.25">
      <c r="A19" s="77" t="s">
        <v>9</v>
      </c>
      <c r="B19" s="112">
        <f t="shared" si="1"/>
        <v>4.2253521126760576E-2</v>
      </c>
      <c r="C19" s="112">
        <f t="shared" si="2"/>
        <v>4.4776119402985079E-2</v>
      </c>
      <c r="D19" s="135">
        <f t="shared" si="3"/>
        <v>2.8571428571428571E-2</v>
      </c>
      <c r="E19" s="112">
        <f t="shared" si="4"/>
        <v>1.234567901234568E-2</v>
      </c>
      <c r="F19" s="112">
        <f t="shared" si="5"/>
        <v>1.234567901234568E-2</v>
      </c>
      <c r="G19" s="112">
        <f t="shared" si="6"/>
        <v>2.9702970297029705E-2</v>
      </c>
      <c r="H19" s="112">
        <f t="shared" si="7"/>
        <v>2.9702970297029705E-2</v>
      </c>
      <c r="I19" s="112">
        <f t="shared" si="8"/>
        <v>1.4218009478672987E-2</v>
      </c>
      <c r="J19" s="112">
        <f t="shared" si="9"/>
        <v>1.7543859649122806E-2</v>
      </c>
      <c r="M19" s="102" t="s">
        <v>8</v>
      </c>
      <c r="N19" s="74"/>
      <c r="O19" s="74"/>
      <c r="P19" s="74"/>
      <c r="Q19" s="74"/>
      <c r="R19" s="74">
        <v>1</v>
      </c>
      <c r="S19" s="74"/>
      <c r="T19" s="74"/>
      <c r="U19" s="74"/>
      <c r="V19" s="74"/>
      <c r="W19" s="100" t="s">
        <v>9</v>
      </c>
    </row>
    <row r="20" spans="1:23" ht="30" x14ac:dyDescent="0.25">
      <c r="A20" s="77" t="s">
        <v>11</v>
      </c>
      <c r="B20" s="112">
        <f t="shared" si="1"/>
        <v>0.21126760563380284</v>
      </c>
      <c r="C20" s="112">
        <f t="shared" si="2"/>
        <v>4.4776119402985079E-2</v>
      </c>
      <c r="D20" s="112">
        <f t="shared" si="3"/>
        <v>0.14285714285714285</v>
      </c>
      <c r="E20" s="135">
        <f t="shared" si="4"/>
        <v>6.1728395061728399E-2</v>
      </c>
      <c r="F20" s="112">
        <f t="shared" si="5"/>
        <v>6.1728395061728399E-2</v>
      </c>
      <c r="G20" s="112">
        <f t="shared" si="6"/>
        <v>4.95049504950495E-2</v>
      </c>
      <c r="H20" s="112">
        <f t="shared" si="7"/>
        <v>4.95049504950495E-2</v>
      </c>
      <c r="I20" s="112">
        <f t="shared" si="8"/>
        <v>2.3696682464454975E-2</v>
      </c>
      <c r="J20" s="112">
        <f t="shared" si="9"/>
        <v>2.9239766081871343E-2</v>
      </c>
      <c r="M20" s="102" t="s">
        <v>8</v>
      </c>
      <c r="N20" s="74"/>
      <c r="O20" s="74"/>
      <c r="P20" s="74"/>
      <c r="Q20" s="74"/>
      <c r="R20" s="74">
        <v>1</v>
      </c>
      <c r="S20" s="74"/>
      <c r="T20" s="74"/>
      <c r="U20" s="74"/>
      <c r="V20" s="74"/>
      <c r="W20" s="100" t="s">
        <v>11</v>
      </c>
    </row>
    <row r="21" spans="1:23" ht="30" x14ac:dyDescent="0.25">
      <c r="A21" s="77" t="s">
        <v>12</v>
      </c>
      <c r="B21" s="112">
        <f t="shared" si="1"/>
        <v>0.21126760563380284</v>
      </c>
      <c r="C21" s="112">
        <f t="shared" si="2"/>
        <v>4.4776119402985079E-2</v>
      </c>
      <c r="D21" s="112">
        <f t="shared" si="3"/>
        <v>0.14285714285714285</v>
      </c>
      <c r="E21" s="112">
        <f t="shared" si="4"/>
        <v>6.1728395061728399E-2</v>
      </c>
      <c r="F21" s="135">
        <f t="shared" si="5"/>
        <v>6.1728395061728399E-2</v>
      </c>
      <c r="G21" s="112">
        <f t="shared" si="6"/>
        <v>4.95049504950495E-2</v>
      </c>
      <c r="H21" s="112">
        <f t="shared" si="7"/>
        <v>4.95049504950495E-2</v>
      </c>
      <c r="I21" s="112">
        <f t="shared" si="8"/>
        <v>2.3696682464454975E-2</v>
      </c>
      <c r="J21" s="112">
        <f t="shared" si="9"/>
        <v>2.9239766081871343E-2</v>
      </c>
      <c r="M21" s="102" t="s">
        <v>8</v>
      </c>
      <c r="N21" s="74"/>
      <c r="O21" s="74"/>
      <c r="P21" s="74"/>
      <c r="Q21" s="74"/>
      <c r="R21" s="74">
        <v>1</v>
      </c>
      <c r="S21" s="74"/>
      <c r="T21" s="74"/>
      <c r="U21" s="74"/>
      <c r="V21" s="74"/>
      <c r="W21" s="100" t="s">
        <v>12</v>
      </c>
    </row>
    <row r="22" spans="1:23" ht="30" x14ac:dyDescent="0.25">
      <c r="A22" s="77" t="s">
        <v>13</v>
      </c>
      <c r="B22" s="112">
        <f t="shared" si="1"/>
        <v>7.0422535211267609E-2</v>
      </c>
      <c r="C22" s="112">
        <f t="shared" si="2"/>
        <v>0.22388059701492538</v>
      </c>
      <c r="D22" s="112">
        <f t="shared" si="3"/>
        <v>0.14285714285714285</v>
      </c>
      <c r="E22" s="112">
        <f t="shared" si="4"/>
        <v>0.1851851851851852</v>
      </c>
      <c r="F22" s="112">
        <f t="shared" si="5"/>
        <v>0.1851851851851852</v>
      </c>
      <c r="G22" s="135">
        <f t="shared" si="6"/>
        <v>0.14851485148514851</v>
      </c>
      <c r="H22" s="112">
        <f t="shared" si="7"/>
        <v>0.14851485148514851</v>
      </c>
      <c r="I22" s="112">
        <f t="shared" si="8"/>
        <v>0.2132701421800948</v>
      </c>
      <c r="J22" s="112">
        <f t="shared" si="9"/>
        <v>0.26315789473684209</v>
      </c>
      <c r="M22" s="102" t="s">
        <v>8</v>
      </c>
      <c r="N22" s="74"/>
      <c r="O22" s="74"/>
      <c r="P22" s="74"/>
      <c r="Q22" s="74"/>
      <c r="R22" s="74"/>
      <c r="S22" s="74"/>
      <c r="T22" s="74">
        <f>1/5</f>
        <v>0.2</v>
      </c>
      <c r="U22" s="74"/>
      <c r="V22" s="74"/>
      <c r="W22" s="100" t="s">
        <v>13</v>
      </c>
    </row>
    <row r="23" spans="1:23" ht="30" x14ac:dyDescent="0.25">
      <c r="A23" s="77" t="s">
        <v>14</v>
      </c>
      <c r="B23" s="112">
        <f t="shared" si="1"/>
        <v>7.0422535211267609E-2</v>
      </c>
      <c r="C23" s="112">
        <f t="shared" si="2"/>
        <v>0.22388059701492538</v>
      </c>
      <c r="D23" s="112">
        <f t="shared" si="3"/>
        <v>0.14285714285714285</v>
      </c>
      <c r="E23" s="112">
        <f t="shared" si="4"/>
        <v>0.1851851851851852</v>
      </c>
      <c r="F23" s="112">
        <f t="shared" si="5"/>
        <v>0.1851851851851852</v>
      </c>
      <c r="G23" s="112">
        <f t="shared" si="6"/>
        <v>0.14851485148514851</v>
      </c>
      <c r="H23" s="135">
        <f t="shared" si="7"/>
        <v>0.14851485148514851</v>
      </c>
      <c r="I23" s="112">
        <f t="shared" si="8"/>
        <v>0.2132701421800948</v>
      </c>
      <c r="J23" s="112">
        <f t="shared" si="9"/>
        <v>0.26315789473684209</v>
      </c>
      <c r="M23" s="102" t="s">
        <v>8</v>
      </c>
      <c r="N23" s="74"/>
      <c r="O23" s="74"/>
      <c r="P23" s="74"/>
      <c r="Q23" s="74"/>
      <c r="R23" s="74"/>
      <c r="S23" s="74"/>
      <c r="T23" s="74">
        <f>1/5</f>
        <v>0.2</v>
      </c>
      <c r="U23" s="74"/>
      <c r="V23" s="74"/>
      <c r="W23" s="100" t="s">
        <v>14</v>
      </c>
    </row>
    <row r="24" spans="1:23" ht="30" x14ac:dyDescent="0.25">
      <c r="A24" s="99" t="s">
        <v>15</v>
      </c>
      <c r="B24" s="112">
        <f t="shared" si="1"/>
        <v>7.0422535211267609E-2</v>
      </c>
      <c r="C24" s="112">
        <f t="shared" si="2"/>
        <v>1.4925373134328358E-2</v>
      </c>
      <c r="D24" s="112">
        <f t="shared" si="3"/>
        <v>8.5714285714285715E-2</v>
      </c>
      <c r="E24" s="112">
        <f t="shared" si="4"/>
        <v>0.1851851851851852</v>
      </c>
      <c r="F24" s="112">
        <f t="shared" si="5"/>
        <v>0.1851851851851852</v>
      </c>
      <c r="G24" s="112">
        <f t="shared" si="6"/>
        <v>4.95049504950495E-2</v>
      </c>
      <c r="H24" s="112">
        <f t="shared" si="7"/>
        <v>4.95049504950495E-2</v>
      </c>
      <c r="I24" s="135">
        <f t="shared" si="8"/>
        <v>7.1090047393364927E-2</v>
      </c>
      <c r="J24" s="112">
        <f t="shared" si="9"/>
        <v>2.9239766081871343E-2</v>
      </c>
      <c r="M24" s="102" t="s">
        <v>8</v>
      </c>
      <c r="N24" s="74"/>
      <c r="O24" s="74"/>
      <c r="P24" s="74"/>
      <c r="Q24" s="74"/>
      <c r="R24" s="74"/>
      <c r="S24" s="74"/>
      <c r="T24" s="74">
        <f>1/5</f>
        <v>0.2</v>
      </c>
      <c r="U24" s="74"/>
      <c r="V24" s="74"/>
      <c r="W24" s="100" t="s">
        <v>15</v>
      </c>
    </row>
    <row r="25" spans="1:23" ht="45" x14ac:dyDescent="0.25">
      <c r="A25" s="99" t="s">
        <v>16</v>
      </c>
      <c r="B25" s="112">
        <f t="shared" si="1"/>
        <v>7.0422535211267609E-2</v>
      </c>
      <c r="C25" s="112">
        <f t="shared" si="2"/>
        <v>0.13432835820895522</v>
      </c>
      <c r="D25" s="112">
        <f t="shared" si="3"/>
        <v>0.14285714285714285</v>
      </c>
      <c r="E25" s="112">
        <f t="shared" si="4"/>
        <v>0.1851851851851852</v>
      </c>
      <c r="F25" s="112">
        <f t="shared" si="5"/>
        <v>0.1851851851851852</v>
      </c>
      <c r="G25" s="112">
        <f t="shared" si="6"/>
        <v>4.95049504950495E-2</v>
      </c>
      <c r="H25" s="112">
        <f t="shared" si="7"/>
        <v>4.95049504950495E-2</v>
      </c>
      <c r="I25" s="112">
        <f t="shared" si="8"/>
        <v>0.2132701421800948</v>
      </c>
      <c r="J25" s="135">
        <f t="shared" si="9"/>
        <v>8.771929824561403E-2</v>
      </c>
      <c r="M25" s="102" t="s">
        <v>8</v>
      </c>
      <c r="N25" s="74"/>
      <c r="O25" s="74"/>
      <c r="P25" s="74"/>
      <c r="Q25" s="74"/>
      <c r="R25" s="74"/>
      <c r="S25" s="74"/>
      <c r="T25" s="74">
        <f>1/5</f>
        <v>0.2</v>
      </c>
      <c r="U25" s="74"/>
      <c r="V25" s="74"/>
      <c r="W25" s="100" t="s">
        <v>16</v>
      </c>
    </row>
    <row r="26" spans="1:23" ht="30" x14ac:dyDescent="0.25">
      <c r="A26" s="136" t="s">
        <v>81</v>
      </c>
      <c r="B26" s="137">
        <f>SUM(B17:B25)</f>
        <v>1.0000000000000002</v>
      </c>
      <c r="C26" s="137">
        <f t="shared" ref="C26:J26" si="10">SUM(C17:C25)</f>
        <v>1</v>
      </c>
      <c r="D26" s="137">
        <f t="shared" si="10"/>
        <v>1</v>
      </c>
      <c r="E26" s="137">
        <f t="shared" si="10"/>
        <v>1.0000000000000002</v>
      </c>
      <c r="F26" s="137">
        <f t="shared" si="10"/>
        <v>1.0000000000000002</v>
      </c>
      <c r="G26" s="137">
        <f t="shared" si="10"/>
        <v>1.0000000000000002</v>
      </c>
      <c r="H26" s="137">
        <f t="shared" si="10"/>
        <v>1.0000000000000002</v>
      </c>
      <c r="I26" s="137">
        <f t="shared" si="10"/>
        <v>1</v>
      </c>
      <c r="J26" s="137">
        <f t="shared" si="10"/>
        <v>1</v>
      </c>
      <c r="M26" s="113" t="s">
        <v>8</v>
      </c>
      <c r="N26" s="114"/>
      <c r="O26" s="114"/>
      <c r="P26" s="114"/>
      <c r="Q26" s="114"/>
      <c r="R26" s="114"/>
      <c r="S26" s="114"/>
      <c r="T26" s="114"/>
      <c r="U26" s="114"/>
      <c r="V26" s="114"/>
      <c r="W26" s="115" t="s">
        <v>19</v>
      </c>
    </row>
    <row r="27" spans="1:23" ht="30" x14ac:dyDescent="0.25">
      <c r="B27" s="112"/>
      <c r="C27" s="112"/>
      <c r="D27" s="112"/>
      <c r="E27" s="112"/>
      <c r="F27" s="112"/>
      <c r="G27" s="112"/>
      <c r="H27" s="112"/>
      <c r="I27" s="112"/>
      <c r="J27" s="112"/>
      <c r="M27" s="113" t="s">
        <v>8</v>
      </c>
      <c r="N27" s="114"/>
      <c r="O27" s="114"/>
      <c r="P27" s="114"/>
      <c r="Q27" s="114"/>
      <c r="R27" s="114"/>
      <c r="S27" s="114"/>
      <c r="T27" s="114"/>
      <c r="U27" s="114"/>
      <c r="V27" s="114"/>
      <c r="W27" s="115" t="s">
        <v>20</v>
      </c>
    </row>
    <row r="28" spans="1:23" ht="30" x14ac:dyDescent="0.25">
      <c r="A28" s="149" t="s">
        <v>79</v>
      </c>
      <c r="B28" s="150" t="s">
        <v>82</v>
      </c>
      <c r="C28" s="150" t="s">
        <v>83</v>
      </c>
      <c r="D28" s="112"/>
      <c r="E28" s="112"/>
      <c r="F28" s="112"/>
      <c r="G28" s="112"/>
      <c r="H28" s="112"/>
      <c r="I28" s="112"/>
      <c r="J28" s="112"/>
      <c r="M28" s="113" t="s">
        <v>8</v>
      </c>
      <c r="N28" s="114"/>
      <c r="O28" s="114"/>
      <c r="P28" s="114"/>
      <c r="Q28" s="114"/>
      <c r="R28" s="114"/>
      <c r="S28" s="114"/>
      <c r="T28" s="114"/>
      <c r="U28" s="114"/>
      <c r="V28" s="114"/>
      <c r="W28" s="115" t="s">
        <v>21</v>
      </c>
    </row>
    <row r="29" spans="1:23" ht="45" x14ac:dyDescent="0.25">
      <c r="A29" s="152" t="s">
        <v>7</v>
      </c>
      <c r="B29" s="153">
        <f>AVERAGE(B17:J17)</f>
        <v>0.22988658682857288</v>
      </c>
      <c r="C29" s="154">
        <f>B29/SUM($B$29:$B$37)</f>
        <v>0.22988658682857283</v>
      </c>
      <c r="M29" s="103"/>
      <c r="N29" s="75"/>
      <c r="O29" s="75"/>
      <c r="P29" s="75"/>
      <c r="Q29" s="75"/>
      <c r="R29" s="75"/>
      <c r="S29" s="75"/>
      <c r="T29" s="75"/>
      <c r="U29" s="75"/>
      <c r="V29" s="75"/>
      <c r="W29" s="101"/>
    </row>
    <row r="30" spans="1:23" ht="60" x14ac:dyDescent="0.25">
      <c r="A30" s="152" t="s">
        <v>8</v>
      </c>
      <c r="B30" s="153">
        <f t="shared" ref="B30:B37" si="11">AVERAGE(B18:J18)</f>
        <v>3.6691740994054027E-2</v>
      </c>
      <c r="C30" s="154">
        <f t="shared" ref="C30:C37" si="12">B30/SUM($B$29:$B$37)</f>
        <v>3.669174099405402E-2</v>
      </c>
      <c r="M30" s="102" t="s">
        <v>9</v>
      </c>
      <c r="N30" s="74"/>
      <c r="O30" s="74"/>
      <c r="P30" s="74"/>
      <c r="Q30" s="74"/>
      <c r="R30" s="74"/>
      <c r="S30" s="74"/>
      <c r="T30" s="74">
        <f>1/5</f>
        <v>0.2</v>
      </c>
      <c r="U30" s="74"/>
      <c r="V30" s="74"/>
      <c r="W30" s="100" t="s">
        <v>7</v>
      </c>
    </row>
    <row r="31" spans="1:23" ht="30" x14ac:dyDescent="0.25">
      <c r="A31" s="152" t="s">
        <v>9</v>
      </c>
      <c r="B31" s="153">
        <f t="shared" si="11"/>
        <v>2.57178040941912E-2</v>
      </c>
      <c r="C31" s="154">
        <f t="shared" si="12"/>
        <v>2.5717804094191193E-2</v>
      </c>
      <c r="M31" s="102" t="s">
        <v>9</v>
      </c>
      <c r="N31" s="74"/>
      <c r="O31" s="74"/>
      <c r="P31" s="74"/>
      <c r="Q31" s="74"/>
      <c r="R31" s="74">
        <v>1</v>
      </c>
      <c r="S31" s="74"/>
      <c r="T31" s="74"/>
      <c r="U31" s="74"/>
      <c r="V31" s="74"/>
      <c r="W31" s="100" t="s">
        <v>8</v>
      </c>
    </row>
    <row r="32" spans="1:23" x14ac:dyDescent="0.25">
      <c r="A32" s="152" t="s">
        <v>11</v>
      </c>
      <c r="B32" s="153">
        <f t="shared" si="11"/>
        <v>7.4922667505979215E-2</v>
      </c>
      <c r="C32" s="154">
        <f t="shared" si="12"/>
        <v>7.4922667505979201E-2</v>
      </c>
      <c r="M32" s="102" t="s">
        <v>9</v>
      </c>
      <c r="N32" s="74"/>
      <c r="O32" s="74"/>
      <c r="P32" s="74"/>
      <c r="Q32" s="74"/>
      <c r="R32" s="74"/>
      <c r="S32" s="74"/>
      <c r="T32" s="74">
        <f t="shared" ref="T32:T37" si="13">1/5</f>
        <v>0.2</v>
      </c>
      <c r="U32" s="74"/>
      <c r="V32" s="74"/>
      <c r="W32" s="100" t="s">
        <v>11</v>
      </c>
    </row>
    <row r="33" spans="1:23" x14ac:dyDescent="0.25">
      <c r="A33" s="152" t="s">
        <v>12</v>
      </c>
      <c r="B33" s="153">
        <f t="shared" si="11"/>
        <v>7.4922667505979215E-2</v>
      </c>
      <c r="C33" s="154">
        <f t="shared" si="12"/>
        <v>7.4922667505979201E-2</v>
      </c>
      <c r="M33" s="102" t="s">
        <v>9</v>
      </c>
      <c r="N33" s="74"/>
      <c r="O33" s="74"/>
      <c r="P33" s="74"/>
      <c r="Q33" s="74"/>
      <c r="R33" s="74"/>
      <c r="S33" s="74"/>
      <c r="T33" s="74">
        <f t="shared" si="13"/>
        <v>0.2</v>
      </c>
      <c r="U33" s="74"/>
      <c r="V33" s="74"/>
      <c r="W33" s="100" t="s">
        <v>12</v>
      </c>
    </row>
    <row r="34" spans="1:23" x14ac:dyDescent="0.25">
      <c r="A34" s="152" t="s">
        <v>13</v>
      </c>
      <c r="B34" s="153">
        <f t="shared" si="11"/>
        <v>0.17566537614899336</v>
      </c>
      <c r="C34" s="154">
        <f t="shared" si="12"/>
        <v>0.17566537614899333</v>
      </c>
      <c r="M34" s="102" t="s">
        <v>9</v>
      </c>
      <c r="N34" s="74"/>
      <c r="O34" s="74"/>
      <c r="P34" s="74"/>
      <c r="Q34" s="74"/>
      <c r="R34" s="74"/>
      <c r="S34" s="74"/>
      <c r="T34" s="74">
        <f t="shared" si="13"/>
        <v>0.2</v>
      </c>
      <c r="U34" s="74"/>
      <c r="V34" s="74"/>
      <c r="W34" s="100" t="s">
        <v>13</v>
      </c>
    </row>
    <row r="35" spans="1:23" x14ac:dyDescent="0.25">
      <c r="A35" s="152" t="s">
        <v>14</v>
      </c>
      <c r="B35" s="153">
        <f t="shared" si="11"/>
        <v>0.17566537614899336</v>
      </c>
      <c r="C35" s="154">
        <f t="shared" si="12"/>
        <v>0.17566537614899333</v>
      </c>
      <c r="M35" s="102" t="s">
        <v>9</v>
      </c>
      <c r="N35" s="74"/>
      <c r="O35" s="74"/>
      <c r="P35" s="74"/>
      <c r="Q35" s="74"/>
      <c r="R35" s="74"/>
      <c r="S35" s="74"/>
      <c r="T35" s="74">
        <f t="shared" si="13"/>
        <v>0.2</v>
      </c>
      <c r="U35" s="74"/>
      <c r="V35" s="74"/>
      <c r="W35" s="100" t="s">
        <v>14</v>
      </c>
    </row>
    <row r="36" spans="1:23" ht="30" x14ac:dyDescent="0.25">
      <c r="A36" s="152" t="s">
        <v>15</v>
      </c>
      <c r="B36" s="153">
        <f t="shared" si="11"/>
        <v>8.2308030988398617E-2</v>
      </c>
      <c r="C36" s="154">
        <f t="shared" si="12"/>
        <v>8.2308030988398603E-2</v>
      </c>
      <c r="M36" s="102" t="s">
        <v>9</v>
      </c>
      <c r="N36" s="74"/>
      <c r="O36" s="74"/>
      <c r="P36" s="74"/>
      <c r="Q36" s="74"/>
      <c r="R36" s="74"/>
      <c r="S36" s="74"/>
      <c r="T36" s="74">
        <f t="shared" si="13"/>
        <v>0.2</v>
      </c>
      <c r="U36" s="74"/>
      <c r="V36" s="74"/>
      <c r="W36" s="100" t="s">
        <v>15</v>
      </c>
    </row>
    <row r="37" spans="1:23" ht="45" x14ac:dyDescent="0.25">
      <c r="A37" s="152" t="s">
        <v>16</v>
      </c>
      <c r="B37" s="153">
        <f t="shared" si="11"/>
        <v>0.12421974978483824</v>
      </c>
      <c r="C37" s="154">
        <f t="shared" si="12"/>
        <v>0.12421974978483821</v>
      </c>
      <c r="M37" s="102" t="s">
        <v>9</v>
      </c>
      <c r="N37" s="74"/>
      <c r="O37" s="74"/>
      <c r="P37" s="74"/>
      <c r="Q37" s="74"/>
      <c r="R37" s="74"/>
      <c r="S37" s="74"/>
      <c r="T37" s="74">
        <f t="shared" si="13"/>
        <v>0.2</v>
      </c>
      <c r="U37" s="74"/>
      <c r="V37" s="74"/>
      <c r="W37" s="100" t="s">
        <v>16</v>
      </c>
    </row>
    <row r="38" spans="1:23" x14ac:dyDescent="0.25">
      <c r="A38" s="136" t="s">
        <v>81</v>
      </c>
      <c r="B38" s="137">
        <f>SUM(B29:B37)</f>
        <v>1.0000000000000002</v>
      </c>
      <c r="C38" s="137">
        <f t="shared" ref="C38" si="14">SUM(C29:C37)</f>
        <v>0.99999999999999989</v>
      </c>
      <c r="M38" s="113" t="s">
        <v>9</v>
      </c>
      <c r="N38" s="114"/>
      <c r="O38" s="114"/>
      <c r="P38" s="114"/>
      <c r="Q38" s="114"/>
      <c r="R38" s="114"/>
      <c r="S38" s="114"/>
      <c r="T38" s="114"/>
      <c r="U38" s="114"/>
      <c r="V38" s="114"/>
      <c r="W38" s="115" t="s">
        <v>19</v>
      </c>
    </row>
    <row r="39" spans="1:23" x14ac:dyDescent="0.25">
      <c r="M39" s="113" t="s">
        <v>9</v>
      </c>
      <c r="N39" s="114"/>
      <c r="O39" s="114"/>
      <c r="P39" s="114"/>
      <c r="Q39" s="114"/>
      <c r="R39" s="114"/>
      <c r="S39" s="114"/>
      <c r="T39" s="114"/>
      <c r="U39" s="114"/>
      <c r="V39" s="114"/>
      <c r="W39" s="115" t="s">
        <v>20</v>
      </c>
    </row>
    <row r="40" spans="1:23" x14ac:dyDescent="0.25">
      <c r="M40" s="113" t="s">
        <v>9</v>
      </c>
      <c r="N40" s="114"/>
      <c r="O40" s="114"/>
      <c r="P40" s="114"/>
      <c r="Q40" s="114"/>
      <c r="R40" s="114"/>
      <c r="S40" s="114"/>
      <c r="T40" s="114"/>
      <c r="U40" s="114"/>
      <c r="V40" s="114"/>
      <c r="W40" s="115" t="s">
        <v>21</v>
      </c>
    </row>
    <row r="41" spans="1:23" x14ac:dyDescent="0.25">
      <c r="A41" t="s">
        <v>84</v>
      </c>
      <c r="B41">
        <f>B17*B29+C18*B30+D19*B31+E20*B32+F21*B33+G22*B34+H23*B35+I24*B36+J25*B37</f>
        <v>0.12912059458581202</v>
      </c>
      <c r="M41" s="103"/>
      <c r="N41" s="75"/>
      <c r="O41" s="75"/>
      <c r="P41" s="75"/>
      <c r="Q41" s="75"/>
      <c r="R41" s="75"/>
      <c r="S41" s="75"/>
      <c r="T41" s="75"/>
      <c r="U41" s="75"/>
      <c r="V41" s="75"/>
      <c r="W41" s="101"/>
    </row>
    <row r="42" spans="1:23" x14ac:dyDescent="0.25">
      <c r="A42" s="65" t="s">
        <v>88</v>
      </c>
      <c r="B42">
        <f>B29*B14+B30*C14+B31*D14+B32*E14+B33*F14+B34*G14+B35*H14+B36*I14+B37*J14</f>
        <v>10.17472814593661</v>
      </c>
      <c r="M42" s="102" t="s">
        <v>11</v>
      </c>
      <c r="N42" s="74"/>
      <c r="O42" s="74"/>
      <c r="P42" s="74"/>
      <c r="Q42" s="74"/>
      <c r="R42" s="74">
        <v>1</v>
      </c>
      <c r="S42" s="74"/>
      <c r="T42" s="74"/>
      <c r="U42" s="74"/>
      <c r="V42" s="74"/>
      <c r="W42" s="104" t="s">
        <v>7</v>
      </c>
    </row>
    <row r="43" spans="1:23" ht="30" x14ac:dyDescent="0.25">
      <c r="A43" t="s">
        <v>85</v>
      </c>
      <c r="B43">
        <f>(B42-COUNT(A29:A37))/(((COUNT(A29:A37))-1))</f>
        <v>-10.17472814593661</v>
      </c>
      <c r="M43" s="102" t="s">
        <v>11</v>
      </c>
      <c r="N43" s="74"/>
      <c r="O43" s="74"/>
      <c r="P43" s="74"/>
      <c r="Q43" s="74"/>
      <c r="R43" s="74">
        <v>1</v>
      </c>
      <c r="S43" s="74"/>
      <c r="T43" s="74"/>
      <c r="U43" s="74"/>
      <c r="V43" s="74"/>
      <c r="W43" s="104" t="s">
        <v>8</v>
      </c>
    </row>
    <row r="44" spans="1:23" x14ac:dyDescent="0.25">
      <c r="A44" t="s">
        <v>86</v>
      </c>
      <c r="B44">
        <v>1.45</v>
      </c>
      <c r="M44" s="102" t="s">
        <v>11</v>
      </c>
      <c r="N44" s="74"/>
      <c r="O44" s="74"/>
      <c r="P44" s="74">
        <v>5</v>
      </c>
      <c r="Q44" s="74"/>
      <c r="R44" s="74"/>
      <c r="S44" s="74"/>
      <c r="T44" s="74"/>
      <c r="U44" s="74"/>
      <c r="V44" s="74"/>
      <c r="W44" s="104" t="s">
        <v>9</v>
      </c>
    </row>
    <row r="45" spans="1:23" x14ac:dyDescent="0.25">
      <c r="A45" t="s">
        <v>87</v>
      </c>
      <c r="B45" s="125">
        <f>B43/B44</f>
        <v>-7.0170538937493863</v>
      </c>
      <c r="M45" s="102" t="s">
        <v>11</v>
      </c>
      <c r="N45" s="74"/>
      <c r="O45" s="74"/>
      <c r="P45" s="74"/>
      <c r="Q45" s="74"/>
      <c r="R45" s="74">
        <v>1</v>
      </c>
      <c r="S45" s="74"/>
      <c r="T45" s="74"/>
      <c r="U45" s="74"/>
      <c r="V45" s="74"/>
      <c r="W45" s="104" t="s">
        <v>12</v>
      </c>
    </row>
    <row r="46" spans="1:23" x14ac:dyDescent="0.25">
      <c r="M46" s="102" t="s">
        <v>11</v>
      </c>
      <c r="N46" s="74"/>
      <c r="O46" s="74"/>
      <c r="P46" s="74"/>
      <c r="Q46" s="74"/>
      <c r="R46" s="74"/>
      <c r="S46" s="74">
        <f>1/3</f>
        <v>0.33333333333333331</v>
      </c>
      <c r="T46" s="74"/>
      <c r="U46" s="74"/>
      <c r="V46" s="74"/>
      <c r="W46" s="104" t="s">
        <v>13</v>
      </c>
    </row>
    <row r="47" spans="1:23" x14ac:dyDescent="0.25">
      <c r="M47" s="102" t="s">
        <v>11</v>
      </c>
      <c r="N47" s="74"/>
      <c r="O47" s="74"/>
      <c r="P47" s="74"/>
      <c r="Q47" s="74"/>
      <c r="R47" s="74"/>
      <c r="S47" s="74">
        <f t="shared" ref="S47:S49" si="15">1/3</f>
        <v>0.33333333333333331</v>
      </c>
      <c r="T47" s="74"/>
      <c r="U47" s="74"/>
      <c r="V47" s="74"/>
      <c r="W47" s="104" t="s">
        <v>14</v>
      </c>
    </row>
    <row r="48" spans="1:23" x14ac:dyDescent="0.25">
      <c r="M48" s="102" t="s">
        <v>11</v>
      </c>
      <c r="N48" s="74"/>
      <c r="O48" s="74"/>
      <c r="P48" s="74"/>
      <c r="Q48" s="74"/>
      <c r="R48" s="74"/>
      <c r="S48" s="74">
        <f t="shared" si="15"/>
        <v>0.33333333333333331</v>
      </c>
      <c r="T48" s="74"/>
      <c r="U48" s="74"/>
      <c r="V48" s="74"/>
      <c r="W48" s="104" t="s">
        <v>15</v>
      </c>
    </row>
    <row r="49" spans="13:23" ht="30" x14ac:dyDescent="0.25">
      <c r="M49" s="102" t="s">
        <v>11</v>
      </c>
      <c r="N49" s="74"/>
      <c r="O49" s="74"/>
      <c r="P49" s="74"/>
      <c r="Q49" s="74"/>
      <c r="R49" s="74"/>
      <c r="S49" s="74">
        <f t="shared" si="15"/>
        <v>0.33333333333333331</v>
      </c>
      <c r="T49" s="74"/>
      <c r="U49" s="74"/>
      <c r="V49" s="74"/>
      <c r="W49" s="104" t="s">
        <v>16</v>
      </c>
    </row>
    <row r="50" spans="13:23" x14ac:dyDescent="0.25">
      <c r="M50" s="113" t="s">
        <v>11</v>
      </c>
      <c r="N50" s="114"/>
      <c r="O50" s="114"/>
      <c r="P50" s="114"/>
      <c r="Q50" s="114"/>
      <c r="R50" s="114"/>
      <c r="S50" s="114"/>
      <c r="T50" s="114"/>
      <c r="U50" s="114"/>
      <c r="V50" s="114"/>
      <c r="W50" s="113" t="s">
        <v>19</v>
      </c>
    </row>
    <row r="51" spans="13:23" x14ac:dyDescent="0.25">
      <c r="M51" s="113" t="s">
        <v>11</v>
      </c>
      <c r="N51" s="114"/>
      <c r="O51" s="114"/>
      <c r="P51" s="114"/>
      <c r="Q51" s="114"/>
      <c r="R51" s="114"/>
      <c r="S51" s="114"/>
      <c r="T51" s="114"/>
      <c r="U51" s="114"/>
      <c r="V51" s="114"/>
      <c r="W51" s="113" t="s">
        <v>20</v>
      </c>
    </row>
    <row r="52" spans="13:23" x14ac:dyDescent="0.25">
      <c r="M52" s="113" t="s">
        <v>11</v>
      </c>
      <c r="N52" s="114"/>
      <c r="O52" s="114"/>
      <c r="P52" s="114"/>
      <c r="Q52" s="114"/>
      <c r="R52" s="114"/>
      <c r="S52" s="114"/>
      <c r="T52" s="114"/>
      <c r="U52" s="114"/>
      <c r="V52" s="114"/>
      <c r="W52" s="113" t="s">
        <v>21</v>
      </c>
    </row>
    <row r="53" spans="13:23" x14ac:dyDescent="0.25">
      <c r="M53" s="103"/>
      <c r="N53" s="75"/>
      <c r="O53" s="75"/>
      <c r="P53" s="75"/>
      <c r="Q53" s="75"/>
      <c r="R53" s="75"/>
      <c r="S53" s="75"/>
      <c r="T53" s="75"/>
      <c r="U53" s="75"/>
      <c r="V53" s="75"/>
      <c r="W53" s="101"/>
    </row>
    <row r="54" spans="13:23" x14ac:dyDescent="0.25">
      <c r="M54" s="102" t="s">
        <v>12</v>
      </c>
      <c r="N54" s="74"/>
      <c r="O54" s="74"/>
      <c r="P54" s="74"/>
      <c r="Q54" s="74"/>
      <c r="R54" s="74">
        <v>1</v>
      </c>
      <c r="S54" s="74"/>
      <c r="T54" s="74"/>
      <c r="U54" s="74"/>
      <c r="V54" s="74"/>
      <c r="W54" s="104" t="s">
        <v>7</v>
      </c>
    </row>
    <row r="55" spans="13:23" ht="30" x14ac:dyDescent="0.25">
      <c r="M55" s="102" t="s">
        <v>12</v>
      </c>
      <c r="N55" s="74"/>
      <c r="O55" s="74"/>
      <c r="P55" s="74"/>
      <c r="Q55" s="74"/>
      <c r="R55" s="74">
        <v>1</v>
      </c>
      <c r="S55" s="74"/>
      <c r="T55" s="74"/>
      <c r="U55" s="74"/>
      <c r="V55" s="74"/>
      <c r="W55" s="104" t="s">
        <v>8</v>
      </c>
    </row>
    <row r="56" spans="13:23" x14ac:dyDescent="0.25">
      <c r="M56" s="102" t="s">
        <v>12</v>
      </c>
      <c r="N56" s="74"/>
      <c r="O56" s="74"/>
      <c r="P56" s="74">
        <v>5</v>
      </c>
      <c r="Q56" s="74"/>
      <c r="R56" s="74"/>
      <c r="S56" s="74"/>
      <c r="T56" s="74"/>
      <c r="U56" s="74"/>
      <c r="V56" s="74"/>
      <c r="W56" s="104" t="s">
        <v>9</v>
      </c>
    </row>
    <row r="57" spans="13:23" x14ac:dyDescent="0.25">
      <c r="M57" s="102" t="s">
        <v>12</v>
      </c>
      <c r="N57" s="74"/>
      <c r="O57" s="74"/>
      <c r="P57" s="74"/>
      <c r="Q57" s="74"/>
      <c r="R57" s="74">
        <v>1</v>
      </c>
      <c r="S57" s="74"/>
      <c r="T57" s="74"/>
      <c r="U57" s="74"/>
      <c r="V57" s="74"/>
      <c r="W57" s="104" t="s">
        <v>11</v>
      </c>
    </row>
    <row r="58" spans="13:23" x14ac:dyDescent="0.25">
      <c r="M58" s="102" t="s">
        <v>12</v>
      </c>
      <c r="N58" s="74"/>
      <c r="O58" s="74"/>
      <c r="P58" s="74"/>
      <c r="Q58" s="74"/>
      <c r="R58" s="74"/>
      <c r="S58" s="74">
        <f t="shared" ref="S58:S61" si="16">1/3</f>
        <v>0.33333333333333331</v>
      </c>
      <c r="T58" s="74"/>
      <c r="U58" s="74"/>
      <c r="V58" s="74"/>
      <c r="W58" s="104" t="s">
        <v>13</v>
      </c>
    </row>
    <row r="59" spans="13:23" x14ac:dyDescent="0.25">
      <c r="M59" s="102" t="s">
        <v>12</v>
      </c>
      <c r="N59" s="74"/>
      <c r="O59" s="74"/>
      <c r="P59" s="74"/>
      <c r="Q59" s="74"/>
      <c r="R59" s="74"/>
      <c r="S59" s="74">
        <f t="shared" si="16"/>
        <v>0.33333333333333331</v>
      </c>
      <c r="T59" s="74"/>
      <c r="U59" s="74"/>
      <c r="V59" s="74"/>
      <c r="W59" s="104" t="s">
        <v>14</v>
      </c>
    </row>
    <row r="60" spans="13:23" x14ac:dyDescent="0.25">
      <c r="M60" s="102" t="s">
        <v>12</v>
      </c>
      <c r="N60" s="74"/>
      <c r="O60" s="74"/>
      <c r="P60" s="74"/>
      <c r="Q60" s="74"/>
      <c r="R60" s="74"/>
      <c r="S60" s="74">
        <f t="shared" si="16"/>
        <v>0.33333333333333331</v>
      </c>
      <c r="T60" s="74"/>
      <c r="U60" s="74"/>
      <c r="V60" s="74"/>
      <c r="W60" s="104" t="s">
        <v>15</v>
      </c>
    </row>
    <row r="61" spans="13:23" ht="30" x14ac:dyDescent="0.25">
      <c r="M61" s="102" t="s">
        <v>12</v>
      </c>
      <c r="N61" s="74"/>
      <c r="O61" s="74"/>
      <c r="P61" s="74"/>
      <c r="Q61" s="74"/>
      <c r="R61" s="74"/>
      <c r="S61" s="74">
        <f t="shared" si="16"/>
        <v>0.33333333333333331</v>
      </c>
      <c r="T61" s="74"/>
      <c r="U61" s="74"/>
      <c r="V61" s="74"/>
      <c r="W61" s="104" t="s">
        <v>16</v>
      </c>
    </row>
    <row r="62" spans="13:23" x14ac:dyDescent="0.25">
      <c r="M62" s="113" t="s">
        <v>12</v>
      </c>
      <c r="N62" s="114"/>
      <c r="O62" s="114"/>
      <c r="P62" s="114"/>
      <c r="Q62" s="114"/>
      <c r="R62" s="114"/>
      <c r="S62" s="114"/>
      <c r="T62" s="114"/>
      <c r="U62" s="114"/>
      <c r="V62" s="114"/>
      <c r="W62" s="113" t="s">
        <v>19</v>
      </c>
    </row>
    <row r="63" spans="13:23" x14ac:dyDescent="0.25">
      <c r="M63" s="113" t="s">
        <v>12</v>
      </c>
      <c r="N63" s="114"/>
      <c r="O63" s="114"/>
      <c r="P63" s="114"/>
      <c r="Q63" s="114"/>
      <c r="R63" s="114"/>
      <c r="S63" s="114"/>
      <c r="T63" s="114"/>
      <c r="U63" s="114"/>
      <c r="V63" s="114"/>
      <c r="W63" s="113" t="s">
        <v>20</v>
      </c>
    </row>
    <row r="64" spans="13:23" x14ac:dyDescent="0.25">
      <c r="M64" s="113" t="s">
        <v>12</v>
      </c>
      <c r="N64" s="114"/>
      <c r="O64" s="114"/>
      <c r="P64" s="114"/>
      <c r="Q64" s="114"/>
      <c r="R64" s="114"/>
      <c r="S64" s="114"/>
      <c r="T64" s="114"/>
      <c r="U64" s="114"/>
      <c r="V64" s="114"/>
      <c r="W64" s="113" t="s">
        <v>21</v>
      </c>
    </row>
    <row r="65" spans="13:23" x14ac:dyDescent="0.25">
      <c r="M65" s="103"/>
      <c r="N65" s="75"/>
      <c r="O65" s="75"/>
      <c r="P65" s="75"/>
      <c r="Q65" s="75"/>
      <c r="R65" s="75"/>
      <c r="S65" s="75"/>
      <c r="T65" s="75"/>
      <c r="U65" s="75"/>
      <c r="V65" s="75"/>
      <c r="W65" s="101"/>
    </row>
    <row r="66" spans="13:23" x14ac:dyDescent="0.25">
      <c r="M66" s="102" t="s">
        <v>13</v>
      </c>
      <c r="N66" s="74"/>
      <c r="O66" s="74"/>
      <c r="P66" s="74"/>
      <c r="Q66" s="74"/>
      <c r="R66" s="74"/>
      <c r="S66" s="74">
        <f t="shared" ref="S66" si="17">1/3</f>
        <v>0.33333333333333331</v>
      </c>
      <c r="T66" s="74"/>
      <c r="U66" s="74"/>
      <c r="V66" s="74"/>
      <c r="W66" s="104" t="s">
        <v>7</v>
      </c>
    </row>
    <row r="67" spans="13:23" ht="30" x14ac:dyDescent="0.25">
      <c r="M67" s="102" t="s">
        <v>13</v>
      </c>
      <c r="N67" s="74"/>
      <c r="O67" s="74"/>
      <c r="P67" s="74">
        <v>5</v>
      </c>
      <c r="Q67" s="74"/>
      <c r="R67" s="74"/>
      <c r="S67" s="74"/>
      <c r="T67" s="74"/>
      <c r="U67" s="74"/>
      <c r="V67" s="74"/>
      <c r="W67" s="104" t="s">
        <v>8</v>
      </c>
    </row>
    <row r="68" spans="13:23" x14ac:dyDescent="0.25">
      <c r="M68" s="102" t="s">
        <v>13</v>
      </c>
      <c r="N68" s="74"/>
      <c r="O68" s="74"/>
      <c r="P68" s="74">
        <v>5</v>
      </c>
      <c r="Q68" s="74"/>
      <c r="R68" s="74"/>
      <c r="S68" s="74"/>
      <c r="T68" s="74"/>
      <c r="U68" s="74"/>
      <c r="V68" s="74"/>
      <c r="W68" s="104" t="s">
        <v>9</v>
      </c>
    </row>
    <row r="69" spans="13:23" x14ac:dyDescent="0.25">
      <c r="M69" s="102" t="s">
        <v>13</v>
      </c>
      <c r="N69" s="74"/>
      <c r="O69" s="74"/>
      <c r="P69" s="74"/>
      <c r="Q69" s="74">
        <v>3</v>
      </c>
      <c r="R69" s="74"/>
      <c r="S69" s="74"/>
      <c r="T69" s="74"/>
      <c r="U69" s="74"/>
      <c r="V69" s="74"/>
      <c r="W69" s="104" t="s">
        <v>11</v>
      </c>
    </row>
    <row r="70" spans="13:23" x14ac:dyDescent="0.25">
      <c r="M70" s="102" t="s">
        <v>13</v>
      </c>
      <c r="N70" s="74"/>
      <c r="O70" s="74"/>
      <c r="P70" s="74"/>
      <c r="Q70" s="74">
        <v>3</v>
      </c>
      <c r="R70" s="74"/>
      <c r="S70" s="74"/>
      <c r="T70" s="74"/>
      <c r="U70" s="74"/>
      <c r="V70" s="74"/>
      <c r="W70" s="104" t="s">
        <v>12</v>
      </c>
    </row>
    <row r="71" spans="13:23" x14ac:dyDescent="0.25">
      <c r="M71" s="102" t="s">
        <v>13</v>
      </c>
      <c r="N71" s="74"/>
      <c r="O71" s="74"/>
      <c r="P71" s="74"/>
      <c r="Q71" s="74"/>
      <c r="R71" s="74">
        <v>1</v>
      </c>
      <c r="S71" s="74"/>
      <c r="T71" s="74"/>
      <c r="U71" s="74"/>
      <c r="V71" s="74"/>
      <c r="W71" s="104" t="s">
        <v>14</v>
      </c>
    </row>
    <row r="72" spans="13:23" x14ac:dyDescent="0.25">
      <c r="M72" s="102" t="s">
        <v>13</v>
      </c>
      <c r="N72" s="74"/>
      <c r="O72" s="74"/>
      <c r="P72" s="74"/>
      <c r="Q72" s="74">
        <v>3</v>
      </c>
      <c r="R72" s="74"/>
      <c r="S72" s="74"/>
      <c r="T72" s="74"/>
      <c r="U72" s="74"/>
      <c r="V72" s="74"/>
      <c r="W72" s="104" t="s">
        <v>15</v>
      </c>
    </row>
    <row r="73" spans="13:23" ht="30" x14ac:dyDescent="0.25">
      <c r="M73" s="102" t="s">
        <v>13</v>
      </c>
      <c r="N73" s="74"/>
      <c r="O73" s="74"/>
      <c r="P73" s="74"/>
      <c r="Q73" s="74">
        <v>3</v>
      </c>
      <c r="R73" s="74"/>
      <c r="S73" s="74"/>
      <c r="T73" s="74"/>
      <c r="U73" s="74"/>
      <c r="V73" s="74"/>
      <c r="W73" s="104" t="s">
        <v>16</v>
      </c>
    </row>
    <row r="74" spans="13:23" x14ac:dyDescent="0.25">
      <c r="M74" s="113" t="s">
        <v>13</v>
      </c>
      <c r="N74" s="114"/>
      <c r="O74" s="114"/>
      <c r="P74" s="114"/>
      <c r="Q74" s="114"/>
      <c r="R74" s="114"/>
      <c r="S74" s="114"/>
      <c r="T74" s="114"/>
      <c r="U74" s="114"/>
      <c r="V74" s="114"/>
      <c r="W74" s="113" t="s">
        <v>19</v>
      </c>
    </row>
    <row r="75" spans="13:23" x14ac:dyDescent="0.25">
      <c r="M75" s="113" t="s">
        <v>13</v>
      </c>
      <c r="N75" s="114"/>
      <c r="O75" s="114"/>
      <c r="P75" s="114"/>
      <c r="Q75" s="114"/>
      <c r="R75" s="114"/>
      <c r="S75" s="114"/>
      <c r="T75" s="114"/>
      <c r="U75" s="114"/>
      <c r="V75" s="114"/>
      <c r="W75" s="113" t="s">
        <v>20</v>
      </c>
    </row>
    <row r="76" spans="13:23" x14ac:dyDescent="0.25">
      <c r="M76" s="113" t="s">
        <v>13</v>
      </c>
      <c r="N76" s="114"/>
      <c r="O76" s="114"/>
      <c r="P76" s="114"/>
      <c r="Q76" s="114"/>
      <c r="R76" s="114"/>
      <c r="S76" s="114"/>
      <c r="T76" s="114"/>
      <c r="U76" s="114"/>
      <c r="V76" s="114"/>
      <c r="W76" s="113" t="s">
        <v>21</v>
      </c>
    </row>
    <row r="77" spans="13:23" x14ac:dyDescent="0.25">
      <c r="M77" s="103"/>
      <c r="N77" s="75"/>
      <c r="O77" s="75"/>
      <c r="P77" s="75"/>
      <c r="Q77" s="75"/>
      <c r="R77" s="75"/>
      <c r="S77" s="75"/>
      <c r="T77" s="75"/>
      <c r="U77" s="75"/>
      <c r="V77" s="75"/>
      <c r="W77" s="101"/>
    </row>
    <row r="78" spans="13:23" x14ac:dyDescent="0.25">
      <c r="M78" s="102" t="s">
        <v>14</v>
      </c>
      <c r="N78" s="74"/>
      <c r="O78" s="74"/>
      <c r="P78" s="74"/>
      <c r="Q78" s="74"/>
      <c r="R78" s="74"/>
      <c r="S78" s="74">
        <f t="shared" ref="S78" si="18">1/3</f>
        <v>0.33333333333333331</v>
      </c>
      <c r="T78" s="74"/>
      <c r="U78" s="74"/>
      <c r="V78" s="74"/>
      <c r="W78" s="104" t="s">
        <v>7</v>
      </c>
    </row>
    <row r="79" spans="13:23" ht="30" x14ac:dyDescent="0.25">
      <c r="M79" s="102" t="s">
        <v>14</v>
      </c>
      <c r="N79" s="74"/>
      <c r="O79" s="74"/>
      <c r="P79" s="74">
        <v>5</v>
      </c>
      <c r="Q79" s="74"/>
      <c r="R79" s="74"/>
      <c r="S79" s="74"/>
      <c r="T79" s="74"/>
      <c r="U79" s="74"/>
      <c r="V79" s="74"/>
      <c r="W79" s="104" t="s">
        <v>8</v>
      </c>
    </row>
    <row r="80" spans="13:23" x14ac:dyDescent="0.25">
      <c r="M80" s="102" t="s">
        <v>14</v>
      </c>
      <c r="N80" s="74"/>
      <c r="O80" s="74"/>
      <c r="P80" s="74">
        <v>5</v>
      </c>
      <c r="Q80" s="74"/>
      <c r="R80" s="74"/>
      <c r="S80" s="74"/>
      <c r="T80" s="74"/>
      <c r="U80" s="74"/>
      <c r="V80" s="74"/>
      <c r="W80" s="104" t="s">
        <v>9</v>
      </c>
    </row>
    <row r="81" spans="13:23" x14ac:dyDescent="0.25">
      <c r="M81" s="102" t="s">
        <v>14</v>
      </c>
      <c r="N81" s="74"/>
      <c r="O81" s="74"/>
      <c r="P81" s="74"/>
      <c r="Q81" s="74">
        <v>3</v>
      </c>
      <c r="R81" s="74"/>
      <c r="S81" s="74"/>
      <c r="T81" s="74"/>
      <c r="U81" s="74"/>
      <c r="V81" s="74"/>
      <c r="W81" s="104" t="s">
        <v>11</v>
      </c>
    </row>
    <row r="82" spans="13:23" x14ac:dyDescent="0.25">
      <c r="M82" s="102" t="s">
        <v>14</v>
      </c>
      <c r="N82" s="74"/>
      <c r="O82" s="74"/>
      <c r="P82" s="74"/>
      <c r="Q82" s="74">
        <v>3</v>
      </c>
      <c r="R82" s="74"/>
      <c r="S82" s="74"/>
      <c r="T82" s="74"/>
      <c r="U82" s="74"/>
      <c r="V82" s="74"/>
      <c r="W82" s="104" t="s">
        <v>12</v>
      </c>
    </row>
    <row r="83" spans="13:23" x14ac:dyDescent="0.25">
      <c r="M83" s="102" t="s">
        <v>14</v>
      </c>
      <c r="N83" s="74"/>
      <c r="O83" s="74"/>
      <c r="P83" s="74"/>
      <c r="Q83" s="74"/>
      <c r="R83" s="74">
        <v>1</v>
      </c>
      <c r="S83" s="74"/>
      <c r="T83" s="74"/>
      <c r="U83" s="74"/>
      <c r="V83" s="74"/>
      <c r="W83" s="104" t="s">
        <v>13</v>
      </c>
    </row>
    <row r="84" spans="13:23" x14ac:dyDescent="0.25">
      <c r="M84" s="102" t="s">
        <v>14</v>
      </c>
      <c r="N84" s="74"/>
      <c r="O84" s="74"/>
      <c r="P84" s="74"/>
      <c r="Q84" s="74">
        <v>3</v>
      </c>
      <c r="R84" s="74"/>
      <c r="S84" s="74"/>
      <c r="T84" s="74"/>
      <c r="U84" s="74"/>
      <c r="V84" s="74"/>
      <c r="W84" s="104" t="s">
        <v>15</v>
      </c>
    </row>
    <row r="85" spans="13:23" ht="30" x14ac:dyDescent="0.25">
      <c r="M85" s="102" t="s">
        <v>14</v>
      </c>
      <c r="N85" s="74"/>
      <c r="O85" s="74"/>
      <c r="P85" s="74"/>
      <c r="Q85" s="74">
        <v>3</v>
      </c>
      <c r="R85" s="74"/>
      <c r="S85" s="74"/>
      <c r="T85" s="74"/>
      <c r="U85" s="74"/>
      <c r="V85" s="74"/>
      <c r="W85" s="104" t="s">
        <v>16</v>
      </c>
    </row>
    <row r="86" spans="13:23" x14ac:dyDescent="0.25">
      <c r="M86" s="113" t="s">
        <v>14</v>
      </c>
      <c r="N86" s="114"/>
      <c r="O86" s="114"/>
      <c r="P86" s="114"/>
      <c r="Q86" s="114"/>
      <c r="R86" s="114"/>
      <c r="S86" s="114"/>
      <c r="T86" s="114"/>
      <c r="U86" s="114"/>
      <c r="V86" s="114"/>
      <c r="W86" s="113" t="s">
        <v>19</v>
      </c>
    </row>
    <row r="87" spans="13:23" x14ac:dyDescent="0.25">
      <c r="M87" s="113" t="s">
        <v>14</v>
      </c>
      <c r="N87" s="114"/>
      <c r="O87" s="114"/>
      <c r="P87" s="114"/>
      <c r="Q87" s="114"/>
      <c r="R87" s="114"/>
      <c r="S87" s="114"/>
      <c r="T87" s="114"/>
      <c r="U87" s="114"/>
      <c r="V87" s="114"/>
      <c r="W87" s="113" t="s">
        <v>20</v>
      </c>
    </row>
    <row r="88" spans="13:23" x14ac:dyDescent="0.25">
      <c r="M88" s="113" t="s">
        <v>14</v>
      </c>
      <c r="N88" s="114"/>
      <c r="O88" s="114"/>
      <c r="P88" s="114"/>
      <c r="Q88" s="114"/>
      <c r="R88" s="114"/>
      <c r="S88" s="114"/>
      <c r="T88" s="114"/>
      <c r="U88" s="114"/>
      <c r="V88" s="114"/>
      <c r="W88" s="113" t="s">
        <v>21</v>
      </c>
    </row>
    <row r="89" spans="13:23" x14ac:dyDescent="0.25">
      <c r="M89" s="103"/>
      <c r="N89" s="75"/>
      <c r="O89" s="75"/>
      <c r="P89" s="75"/>
      <c r="Q89" s="75"/>
      <c r="R89" s="75"/>
      <c r="S89" s="75"/>
      <c r="T89" s="75"/>
      <c r="U89" s="75"/>
      <c r="V89" s="75"/>
      <c r="W89" s="101"/>
    </row>
    <row r="90" spans="13:23" x14ac:dyDescent="0.25">
      <c r="M90" s="102" t="s">
        <v>15</v>
      </c>
      <c r="N90" s="74"/>
      <c r="O90" s="74"/>
      <c r="P90" s="74"/>
      <c r="Q90" s="74"/>
      <c r="R90" s="74"/>
      <c r="S90" s="74">
        <f t="shared" ref="S90:S91" si="19">1/3</f>
        <v>0.33333333333333331</v>
      </c>
      <c r="T90" s="74"/>
      <c r="U90" s="74"/>
      <c r="V90" s="74"/>
      <c r="W90" s="104" t="s">
        <v>7</v>
      </c>
    </row>
    <row r="91" spans="13:23" ht="30" x14ac:dyDescent="0.25">
      <c r="M91" s="102" t="s">
        <v>15</v>
      </c>
      <c r="N91" s="74"/>
      <c r="O91" s="74"/>
      <c r="P91" s="74"/>
      <c r="Q91" s="74"/>
      <c r="R91" s="74"/>
      <c r="S91" s="74">
        <f t="shared" si="19"/>
        <v>0.33333333333333331</v>
      </c>
      <c r="T91" s="74"/>
      <c r="U91" s="74"/>
      <c r="V91" s="74"/>
      <c r="W91" s="104" t="s">
        <v>8</v>
      </c>
    </row>
    <row r="92" spans="13:23" x14ac:dyDescent="0.25">
      <c r="M92" s="102" t="s">
        <v>15</v>
      </c>
      <c r="N92" s="74"/>
      <c r="O92" s="74"/>
      <c r="P92" s="74"/>
      <c r="Q92" s="74">
        <v>3</v>
      </c>
      <c r="R92" s="74"/>
      <c r="S92" s="74"/>
      <c r="T92" s="74"/>
      <c r="U92" s="74"/>
      <c r="V92" s="74"/>
      <c r="W92" s="104" t="s">
        <v>9</v>
      </c>
    </row>
    <row r="93" spans="13:23" x14ac:dyDescent="0.25">
      <c r="M93" s="102" t="s">
        <v>15</v>
      </c>
      <c r="N93" s="74"/>
      <c r="O93" s="74"/>
      <c r="P93" s="74"/>
      <c r="Q93" s="74">
        <v>3</v>
      </c>
      <c r="R93" s="74"/>
      <c r="S93" s="74"/>
      <c r="T93" s="74"/>
      <c r="U93" s="74"/>
      <c r="V93" s="74"/>
      <c r="W93" s="104" t="s">
        <v>11</v>
      </c>
    </row>
    <row r="94" spans="13:23" x14ac:dyDescent="0.25">
      <c r="M94" s="102" t="s">
        <v>15</v>
      </c>
      <c r="N94" s="74"/>
      <c r="O94" s="74"/>
      <c r="P94" s="74"/>
      <c r="Q94" s="74">
        <v>3</v>
      </c>
      <c r="R94" s="74"/>
      <c r="S94" s="74"/>
      <c r="T94" s="74"/>
      <c r="U94" s="74"/>
      <c r="V94" s="74"/>
      <c r="W94" s="104" t="s">
        <v>12</v>
      </c>
    </row>
    <row r="95" spans="13:23" x14ac:dyDescent="0.25">
      <c r="M95" s="102" t="s">
        <v>15</v>
      </c>
      <c r="N95" s="74"/>
      <c r="O95" s="74"/>
      <c r="P95" s="74"/>
      <c r="Q95" s="74"/>
      <c r="R95" s="74"/>
      <c r="S95" s="74">
        <f t="shared" ref="S95:S97" si="20">1/3</f>
        <v>0.33333333333333331</v>
      </c>
      <c r="T95" s="74"/>
      <c r="U95" s="74"/>
      <c r="V95" s="74"/>
      <c r="W95" s="104" t="s">
        <v>13</v>
      </c>
    </row>
    <row r="96" spans="13:23" x14ac:dyDescent="0.25">
      <c r="M96" s="102" t="s">
        <v>15</v>
      </c>
      <c r="N96" s="74"/>
      <c r="O96" s="74"/>
      <c r="P96" s="74"/>
      <c r="Q96" s="74"/>
      <c r="R96" s="74"/>
      <c r="S96" s="74">
        <f t="shared" si="20"/>
        <v>0.33333333333333331</v>
      </c>
      <c r="T96" s="74"/>
      <c r="U96" s="74"/>
      <c r="V96" s="74"/>
      <c r="W96" s="104" t="s">
        <v>14</v>
      </c>
    </row>
    <row r="97" spans="13:23" ht="30" x14ac:dyDescent="0.25">
      <c r="M97" s="102" t="s">
        <v>15</v>
      </c>
      <c r="N97" s="74"/>
      <c r="O97" s="74"/>
      <c r="P97" s="74"/>
      <c r="Q97" s="74"/>
      <c r="R97" s="74"/>
      <c r="S97" s="74">
        <f t="shared" si="20"/>
        <v>0.33333333333333331</v>
      </c>
      <c r="T97" s="74"/>
      <c r="U97" s="74"/>
      <c r="V97" s="74"/>
      <c r="W97" s="104" t="s">
        <v>16</v>
      </c>
    </row>
    <row r="98" spans="13:23" x14ac:dyDescent="0.25">
      <c r="M98" s="113" t="s">
        <v>15</v>
      </c>
      <c r="N98" s="114"/>
      <c r="O98" s="114"/>
      <c r="P98" s="114"/>
      <c r="Q98" s="114"/>
      <c r="R98" s="114"/>
      <c r="S98" s="114"/>
      <c r="T98" s="114"/>
      <c r="U98" s="114"/>
      <c r="V98" s="114"/>
      <c r="W98" s="113" t="s">
        <v>19</v>
      </c>
    </row>
    <row r="99" spans="13:23" x14ac:dyDescent="0.25">
      <c r="M99" s="113" t="s">
        <v>15</v>
      </c>
      <c r="N99" s="114"/>
      <c r="O99" s="114"/>
      <c r="P99" s="114"/>
      <c r="Q99" s="114"/>
      <c r="R99" s="114"/>
      <c r="S99" s="114"/>
      <c r="T99" s="114"/>
      <c r="U99" s="114"/>
      <c r="V99" s="114"/>
      <c r="W99" s="113" t="s">
        <v>20</v>
      </c>
    </row>
    <row r="100" spans="13:23" x14ac:dyDescent="0.25">
      <c r="M100" s="113" t="s">
        <v>15</v>
      </c>
      <c r="N100" s="114"/>
      <c r="O100" s="114"/>
      <c r="P100" s="114"/>
      <c r="Q100" s="114"/>
      <c r="R100" s="114"/>
      <c r="S100" s="114"/>
      <c r="T100" s="114"/>
      <c r="U100" s="114"/>
      <c r="V100" s="114"/>
      <c r="W100" s="113" t="s">
        <v>21</v>
      </c>
    </row>
    <row r="101" spans="13:23" x14ac:dyDescent="0.25">
      <c r="M101" s="103"/>
      <c r="N101" s="75"/>
      <c r="O101" s="75"/>
      <c r="P101" s="75"/>
      <c r="Q101" s="75"/>
      <c r="R101" s="75"/>
      <c r="S101" s="75"/>
      <c r="T101" s="75"/>
      <c r="U101" s="75"/>
      <c r="V101" s="75"/>
      <c r="W101" s="101"/>
    </row>
    <row r="102" spans="13:23" ht="30" x14ac:dyDescent="0.25">
      <c r="M102" s="102" t="s">
        <v>16</v>
      </c>
      <c r="N102" s="74"/>
      <c r="O102" s="74"/>
      <c r="P102" s="74"/>
      <c r="Q102" s="74"/>
      <c r="R102" s="74"/>
      <c r="S102" s="74">
        <f t="shared" ref="S102" si="21">1/3</f>
        <v>0.33333333333333331</v>
      </c>
      <c r="T102" s="74"/>
      <c r="U102" s="74"/>
      <c r="V102" s="74"/>
      <c r="W102" s="104" t="s">
        <v>7</v>
      </c>
    </row>
    <row r="103" spans="13:23" ht="30" x14ac:dyDescent="0.25">
      <c r="M103" s="102" t="s">
        <v>16</v>
      </c>
      <c r="N103" s="74"/>
      <c r="O103" s="74"/>
      <c r="P103" s="74"/>
      <c r="Q103" s="74">
        <v>3</v>
      </c>
      <c r="R103" s="74"/>
      <c r="S103" s="74"/>
      <c r="T103" s="74"/>
      <c r="U103" s="74"/>
      <c r="V103" s="74"/>
      <c r="W103" s="104" t="s">
        <v>8</v>
      </c>
    </row>
    <row r="104" spans="13:23" ht="30" x14ac:dyDescent="0.25">
      <c r="M104" s="102" t="s">
        <v>16</v>
      </c>
      <c r="N104" s="74"/>
      <c r="O104" s="74"/>
      <c r="P104" s="74">
        <v>5</v>
      </c>
      <c r="Q104" s="74"/>
      <c r="R104" s="74"/>
      <c r="S104" s="74"/>
      <c r="T104" s="74"/>
      <c r="U104" s="74"/>
      <c r="V104" s="74"/>
      <c r="W104" s="104" t="s">
        <v>9</v>
      </c>
    </row>
    <row r="105" spans="13:23" ht="30" x14ac:dyDescent="0.25">
      <c r="M105" s="102" t="s">
        <v>16</v>
      </c>
      <c r="N105" s="74"/>
      <c r="O105" s="74"/>
      <c r="P105" s="74"/>
      <c r="Q105" s="74">
        <v>3</v>
      </c>
      <c r="R105" s="74"/>
      <c r="S105" s="74"/>
      <c r="T105" s="74"/>
      <c r="U105" s="74"/>
      <c r="V105" s="74"/>
      <c r="W105" s="104" t="s">
        <v>11</v>
      </c>
    </row>
    <row r="106" spans="13:23" ht="30" x14ac:dyDescent="0.25">
      <c r="M106" s="102" t="s">
        <v>16</v>
      </c>
      <c r="N106" s="74"/>
      <c r="O106" s="74"/>
      <c r="P106" s="74"/>
      <c r="Q106" s="74">
        <v>3</v>
      </c>
      <c r="R106" s="74"/>
      <c r="S106" s="74"/>
      <c r="T106" s="74"/>
      <c r="U106" s="74"/>
      <c r="V106" s="74"/>
      <c r="W106" s="104" t="s">
        <v>12</v>
      </c>
    </row>
    <row r="107" spans="13:23" ht="30" x14ac:dyDescent="0.25">
      <c r="M107" s="102" t="s">
        <v>16</v>
      </c>
      <c r="N107" s="74"/>
      <c r="O107" s="74"/>
      <c r="P107" s="74"/>
      <c r="Q107" s="74"/>
      <c r="R107" s="74"/>
      <c r="S107" s="74">
        <f t="shared" ref="S107:S108" si="22">1/3</f>
        <v>0.33333333333333331</v>
      </c>
      <c r="T107" s="74"/>
      <c r="U107" s="74"/>
      <c r="V107" s="74"/>
      <c r="W107" s="104" t="s">
        <v>13</v>
      </c>
    </row>
    <row r="108" spans="13:23" ht="30" x14ac:dyDescent="0.25">
      <c r="M108" s="102" t="s">
        <v>16</v>
      </c>
      <c r="N108" s="74"/>
      <c r="O108" s="74"/>
      <c r="P108" s="74"/>
      <c r="Q108" s="74"/>
      <c r="R108" s="74"/>
      <c r="S108" s="74">
        <f t="shared" si="22"/>
        <v>0.33333333333333331</v>
      </c>
      <c r="T108" s="74"/>
      <c r="U108" s="74"/>
      <c r="V108" s="74"/>
      <c r="W108" s="104" t="s">
        <v>14</v>
      </c>
    </row>
    <row r="109" spans="13:23" ht="30" x14ac:dyDescent="0.25">
      <c r="M109" s="102" t="s">
        <v>16</v>
      </c>
      <c r="N109" s="74"/>
      <c r="O109" s="74"/>
      <c r="P109" s="74"/>
      <c r="Q109" s="74">
        <v>3</v>
      </c>
      <c r="R109" s="74"/>
      <c r="S109" s="74"/>
      <c r="T109" s="74"/>
      <c r="U109" s="74"/>
      <c r="V109" s="74"/>
      <c r="W109" s="104" t="s">
        <v>15</v>
      </c>
    </row>
    <row r="110" spans="13:23" ht="30" x14ac:dyDescent="0.25">
      <c r="M110" s="113" t="s">
        <v>16</v>
      </c>
      <c r="N110" s="114"/>
      <c r="O110" s="114"/>
      <c r="P110" s="114"/>
      <c r="Q110" s="114"/>
      <c r="R110" s="114"/>
      <c r="S110" s="114"/>
      <c r="T110" s="114"/>
      <c r="U110" s="114"/>
      <c r="V110" s="114"/>
      <c r="W110" s="113" t="s">
        <v>19</v>
      </c>
    </row>
    <row r="111" spans="13:23" ht="30" x14ac:dyDescent="0.25">
      <c r="M111" s="113" t="s">
        <v>16</v>
      </c>
      <c r="N111" s="114"/>
      <c r="O111" s="114"/>
      <c r="P111" s="114"/>
      <c r="Q111" s="114"/>
      <c r="R111" s="114"/>
      <c r="S111" s="114"/>
      <c r="T111" s="114"/>
      <c r="U111" s="114"/>
      <c r="V111" s="114"/>
      <c r="W111" s="113" t="s">
        <v>20</v>
      </c>
    </row>
    <row r="112" spans="13:23" ht="30" x14ac:dyDescent="0.25">
      <c r="M112" s="113" t="s">
        <v>16</v>
      </c>
      <c r="N112" s="114"/>
      <c r="O112" s="114"/>
      <c r="P112" s="114"/>
      <c r="Q112" s="114"/>
      <c r="R112" s="114"/>
      <c r="S112" s="114"/>
      <c r="T112" s="114"/>
      <c r="U112" s="114"/>
      <c r="V112" s="114"/>
      <c r="W112" s="113" t="s">
        <v>21</v>
      </c>
    </row>
    <row r="113" spans="13:23" x14ac:dyDescent="0.25">
      <c r="M113" s="103"/>
      <c r="N113" s="75"/>
      <c r="O113" s="75"/>
      <c r="P113" s="75"/>
      <c r="Q113" s="75"/>
      <c r="R113" s="75"/>
      <c r="S113" s="75"/>
      <c r="T113" s="75"/>
      <c r="U113" s="75"/>
      <c r="V113" s="75"/>
      <c r="W113" s="101"/>
    </row>
    <row r="114" spans="13:23" x14ac:dyDescent="0.25">
      <c r="M114" s="113" t="s">
        <v>19</v>
      </c>
      <c r="N114" s="114"/>
      <c r="O114" s="114"/>
      <c r="P114" s="114"/>
      <c r="Q114" s="114"/>
      <c r="R114" s="114"/>
      <c r="S114" s="114"/>
      <c r="T114" s="114"/>
      <c r="U114" s="114"/>
      <c r="V114" s="114"/>
      <c r="W114" s="113" t="s">
        <v>7</v>
      </c>
    </row>
    <row r="115" spans="13:23" ht="30" x14ac:dyDescent="0.25">
      <c r="M115" s="113" t="s">
        <v>19</v>
      </c>
      <c r="N115" s="114"/>
      <c r="O115" s="114"/>
      <c r="P115" s="114"/>
      <c r="Q115" s="114"/>
      <c r="R115" s="114"/>
      <c r="S115" s="114"/>
      <c r="T115" s="114"/>
      <c r="U115" s="114"/>
      <c r="V115" s="114"/>
      <c r="W115" s="113" t="s">
        <v>8</v>
      </c>
    </row>
    <row r="116" spans="13:23" x14ac:dyDescent="0.25">
      <c r="M116" s="113" t="s">
        <v>19</v>
      </c>
      <c r="N116" s="114"/>
      <c r="O116" s="114"/>
      <c r="P116" s="114"/>
      <c r="Q116" s="114"/>
      <c r="R116" s="114"/>
      <c r="S116" s="114"/>
      <c r="T116" s="114"/>
      <c r="U116" s="114"/>
      <c r="V116" s="114"/>
      <c r="W116" s="113" t="s">
        <v>9</v>
      </c>
    </row>
    <row r="117" spans="13:23" x14ac:dyDescent="0.25">
      <c r="M117" s="113" t="s">
        <v>19</v>
      </c>
      <c r="N117" s="114"/>
      <c r="O117" s="114"/>
      <c r="P117" s="114"/>
      <c r="Q117" s="114"/>
      <c r="R117" s="114"/>
      <c r="S117" s="114"/>
      <c r="T117" s="114"/>
      <c r="U117" s="114"/>
      <c r="V117" s="114"/>
      <c r="W117" s="113" t="s">
        <v>11</v>
      </c>
    </row>
    <row r="118" spans="13:23" x14ac:dyDescent="0.25">
      <c r="M118" s="113" t="s">
        <v>19</v>
      </c>
      <c r="N118" s="114"/>
      <c r="O118" s="114"/>
      <c r="P118" s="114"/>
      <c r="Q118" s="114"/>
      <c r="R118" s="114"/>
      <c r="S118" s="114"/>
      <c r="T118" s="114"/>
      <c r="U118" s="114"/>
      <c r="V118" s="114"/>
      <c r="W118" s="113" t="s">
        <v>12</v>
      </c>
    </row>
    <row r="119" spans="13:23" x14ac:dyDescent="0.25">
      <c r="M119" s="113" t="s">
        <v>19</v>
      </c>
      <c r="N119" s="114"/>
      <c r="O119" s="114"/>
      <c r="P119" s="114"/>
      <c r="Q119" s="114"/>
      <c r="R119" s="114"/>
      <c r="S119" s="114"/>
      <c r="T119" s="114"/>
      <c r="U119" s="114"/>
      <c r="V119" s="114"/>
      <c r="W119" s="113" t="s">
        <v>13</v>
      </c>
    </row>
    <row r="120" spans="13:23" x14ac:dyDescent="0.25">
      <c r="M120" s="113" t="s">
        <v>19</v>
      </c>
      <c r="N120" s="114"/>
      <c r="O120" s="114"/>
      <c r="P120" s="114"/>
      <c r="Q120" s="114"/>
      <c r="R120" s="114"/>
      <c r="S120" s="114"/>
      <c r="T120" s="114"/>
      <c r="U120" s="114"/>
      <c r="V120" s="114"/>
      <c r="W120" s="113" t="s">
        <v>14</v>
      </c>
    </row>
    <row r="121" spans="13:23" x14ac:dyDescent="0.25">
      <c r="M121" s="113" t="s">
        <v>19</v>
      </c>
      <c r="N121" s="114"/>
      <c r="O121" s="114"/>
      <c r="P121" s="114"/>
      <c r="Q121" s="114"/>
      <c r="R121" s="114"/>
      <c r="S121" s="114"/>
      <c r="T121" s="114"/>
      <c r="U121" s="114"/>
      <c r="V121" s="114"/>
      <c r="W121" s="113" t="s">
        <v>15</v>
      </c>
    </row>
    <row r="122" spans="13:23" ht="30" x14ac:dyDescent="0.25">
      <c r="M122" s="113" t="s">
        <v>19</v>
      </c>
      <c r="N122" s="114"/>
      <c r="O122" s="114"/>
      <c r="P122" s="114"/>
      <c r="Q122" s="114"/>
      <c r="R122" s="114"/>
      <c r="S122" s="114"/>
      <c r="T122" s="114"/>
      <c r="U122" s="114"/>
      <c r="V122" s="114"/>
      <c r="W122" s="113" t="s">
        <v>16</v>
      </c>
    </row>
    <row r="123" spans="13:23" x14ac:dyDescent="0.25">
      <c r="M123" s="113" t="s">
        <v>19</v>
      </c>
      <c r="N123" s="114"/>
      <c r="O123" s="114"/>
      <c r="P123" s="114"/>
      <c r="Q123" s="114"/>
      <c r="R123" s="114"/>
      <c r="S123" s="114"/>
      <c r="T123" s="114"/>
      <c r="U123" s="114"/>
      <c r="V123" s="114"/>
      <c r="W123" s="113" t="s">
        <v>20</v>
      </c>
    </row>
    <row r="124" spans="13:23" x14ac:dyDescent="0.25">
      <c r="M124" s="113" t="s">
        <v>19</v>
      </c>
      <c r="N124" s="114"/>
      <c r="O124" s="114"/>
      <c r="P124" s="114"/>
      <c r="Q124" s="114"/>
      <c r="R124" s="114"/>
      <c r="S124" s="114"/>
      <c r="T124" s="114"/>
      <c r="U124" s="114"/>
      <c r="V124" s="114"/>
      <c r="W124" s="113" t="s">
        <v>21</v>
      </c>
    </row>
    <row r="125" spans="13:23" x14ac:dyDescent="0.25">
      <c r="M125" s="103"/>
      <c r="N125" s="75"/>
      <c r="O125" s="75"/>
      <c r="P125" s="75"/>
      <c r="Q125" s="75"/>
      <c r="R125" s="75"/>
      <c r="S125" s="75"/>
      <c r="T125" s="75"/>
      <c r="U125" s="75"/>
      <c r="V125" s="75"/>
      <c r="W125" s="101"/>
    </row>
    <row r="126" spans="13:23" x14ac:dyDescent="0.25">
      <c r="M126" s="113" t="s">
        <v>20</v>
      </c>
      <c r="N126" s="114"/>
      <c r="O126" s="114"/>
      <c r="P126" s="114"/>
      <c r="Q126" s="114"/>
      <c r="R126" s="114"/>
      <c r="S126" s="114"/>
      <c r="T126" s="114"/>
      <c r="U126" s="114"/>
      <c r="V126" s="114"/>
      <c r="W126" s="113" t="s">
        <v>7</v>
      </c>
    </row>
    <row r="127" spans="13:23" ht="30" x14ac:dyDescent="0.25">
      <c r="M127" s="113" t="s">
        <v>20</v>
      </c>
      <c r="N127" s="114"/>
      <c r="O127" s="114"/>
      <c r="P127" s="114"/>
      <c r="Q127" s="114"/>
      <c r="R127" s="114"/>
      <c r="S127" s="114"/>
      <c r="T127" s="114"/>
      <c r="U127" s="114"/>
      <c r="V127" s="114"/>
      <c r="W127" s="113" t="s">
        <v>8</v>
      </c>
    </row>
    <row r="128" spans="13:23" x14ac:dyDescent="0.25">
      <c r="M128" s="113" t="s">
        <v>20</v>
      </c>
      <c r="N128" s="114"/>
      <c r="O128" s="114"/>
      <c r="P128" s="114"/>
      <c r="Q128" s="114"/>
      <c r="R128" s="114"/>
      <c r="S128" s="114"/>
      <c r="T128" s="114"/>
      <c r="U128" s="114"/>
      <c r="V128" s="114"/>
      <c r="W128" s="113" t="s">
        <v>9</v>
      </c>
    </row>
    <row r="129" spans="13:23" x14ac:dyDescent="0.25">
      <c r="M129" s="113" t="s">
        <v>20</v>
      </c>
      <c r="N129" s="114"/>
      <c r="O129" s="114"/>
      <c r="P129" s="114"/>
      <c r="Q129" s="114"/>
      <c r="R129" s="114"/>
      <c r="S129" s="114"/>
      <c r="T129" s="114"/>
      <c r="U129" s="114"/>
      <c r="V129" s="114"/>
      <c r="W129" s="113" t="s">
        <v>11</v>
      </c>
    </row>
    <row r="130" spans="13:23" x14ac:dyDescent="0.25">
      <c r="M130" s="113" t="s">
        <v>20</v>
      </c>
      <c r="N130" s="114"/>
      <c r="O130" s="114"/>
      <c r="P130" s="114"/>
      <c r="Q130" s="114"/>
      <c r="R130" s="114"/>
      <c r="S130" s="114"/>
      <c r="T130" s="114"/>
      <c r="U130" s="114"/>
      <c r="V130" s="114"/>
      <c r="W130" s="113" t="s">
        <v>12</v>
      </c>
    </row>
    <row r="131" spans="13:23" x14ac:dyDescent="0.25">
      <c r="M131" s="113" t="s">
        <v>20</v>
      </c>
      <c r="N131" s="114"/>
      <c r="O131" s="114"/>
      <c r="P131" s="114"/>
      <c r="Q131" s="114"/>
      <c r="R131" s="114"/>
      <c r="S131" s="114"/>
      <c r="T131" s="114"/>
      <c r="U131" s="114"/>
      <c r="V131" s="114"/>
      <c r="W131" s="113" t="s">
        <v>13</v>
      </c>
    </row>
    <row r="132" spans="13:23" x14ac:dyDescent="0.25">
      <c r="M132" s="113" t="s">
        <v>20</v>
      </c>
      <c r="N132" s="114"/>
      <c r="O132" s="114"/>
      <c r="P132" s="114"/>
      <c r="Q132" s="114"/>
      <c r="R132" s="114"/>
      <c r="S132" s="114"/>
      <c r="T132" s="114"/>
      <c r="U132" s="114"/>
      <c r="V132" s="114"/>
      <c r="W132" s="113" t="s">
        <v>14</v>
      </c>
    </row>
    <row r="133" spans="13:23" x14ac:dyDescent="0.25">
      <c r="M133" s="113" t="s">
        <v>20</v>
      </c>
      <c r="N133" s="114"/>
      <c r="O133" s="114"/>
      <c r="P133" s="114"/>
      <c r="Q133" s="114"/>
      <c r="R133" s="114"/>
      <c r="S133" s="114"/>
      <c r="T133" s="114"/>
      <c r="U133" s="114"/>
      <c r="V133" s="114"/>
      <c r="W133" s="113" t="s">
        <v>15</v>
      </c>
    </row>
    <row r="134" spans="13:23" ht="30" x14ac:dyDescent="0.25">
      <c r="M134" s="113" t="s">
        <v>20</v>
      </c>
      <c r="N134" s="114"/>
      <c r="O134" s="114"/>
      <c r="P134" s="114"/>
      <c r="Q134" s="114"/>
      <c r="R134" s="114"/>
      <c r="S134" s="114"/>
      <c r="T134" s="114"/>
      <c r="U134" s="114"/>
      <c r="V134" s="114"/>
      <c r="W134" s="113" t="s">
        <v>16</v>
      </c>
    </row>
    <row r="135" spans="13:23" x14ac:dyDescent="0.25">
      <c r="M135" s="113" t="s">
        <v>20</v>
      </c>
      <c r="N135" s="114"/>
      <c r="O135" s="114"/>
      <c r="P135" s="114"/>
      <c r="Q135" s="114"/>
      <c r="R135" s="114"/>
      <c r="S135" s="114"/>
      <c r="T135" s="114"/>
      <c r="U135" s="114"/>
      <c r="V135" s="114"/>
      <c r="W135" s="113" t="s">
        <v>19</v>
      </c>
    </row>
    <row r="136" spans="13:23" x14ac:dyDescent="0.25">
      <c r="M136" s="113" t="s">
        <v>20</v>
      </c>
      <c r="N136" s="114"/>
      <c r="O136" s="114"/>
      <c r="P136" s="114"/>
      <c r="Q136" s="114"/>
      <c r="R136" s="114"/>
      <c r="S136" s="114"/>
      <c r="T136" s="114"/>
      <c r="U136" s="114"/>
      <c r="V136" s="114"/>
      <c r="W136" s="113" t="s">
        <v>21</v>
      </c>
    </row>
    <row r="137" spans="13:23" x14ac:dyDescent="0.25">
      <c r="M137" s="103"/>
      <c r="N137" s="75"/>
      <c r="O137" s="75"/>
      <c r="P137" s="75"/>
      <c r="Q137" s="75"/>
      <c r="R137" s="75"/>
      <c r="S137" s="75"/>
      <c r="T137" s="75"/>
      <c r="U137" s="75"/>
      <c r="V137" s="75"/>
      <c r="W137" s="101"/>
    </row>
    <row r="138" spans="13:23" x14ac:dyDescent="0.25">
      <c r="M138" s="113" t="s">
        <v>21</v>
      </c>
      <c r="N138" s="114"/>
      <c r="O138" s="114"/>
      <c r="P138" s="114"/>
      <c r="Q138" s="114"/>
      <c r="R138" s="114"/>
      <c r="S138" s="114"/>
      <c r="T138" s="114"/>
      <c r="U138" s="114"/>
      <c r="V138" s="114"/>
      <c r="W138" s="113" t="s">
        <v>7</v>
      </c>
    </row>
    <row r="139" spans="13:23" ht="30" x14ac:dyDescent="0.25">
      <c r="M139" s="113" t="s">
        <v>21</v>
      </c>
      <c r="N139" s="114"/>
      <c r="O139" s="114"/>
      <c r="P139" s="114"/>
      <c r="Q139" s="114"/>
      <c r="R139" s="114"/>
      <c r="S139" s="114"/>
      <c r="T139" s="114"/>
      <c r="U139" s="114"/>
      <c r="V139" s="114"/>
      <c r="W139" s="113" t="s">
        <v>8</v>
      </c>
    </row>
    <row r="140" spans="13:23" x14ac:dyDescent="0.25">
      <c r="M140" s="113" t="s">
        <v>21</v>
      </c>
      <c r="N140" s="114"/>
      <c r="O140" s="114"/>
      <c r="P140" s="114"/>
      <c r="Q140" s="114"/>
      <c r="R140" s="114"/>
      <c r="S140" s="114"/>
      <c r="T140" s="114"/>
      <c r="U140" s="114"/>
      <c r="V140" s="114"/>
      <c r="W140" s="113" t="s">
        <v>9</v>
      </c>
    </row>
    <row r="141" spans="13:23" x14ac:dyDescent="0.25">
      <c r="M141" s="113" t="s">
        <v>21</v>
      </c>
      <c r="N141" s="114"/>
      <c r="O141" s="114"/>
      <c r="P141" s="114"/>
      <c r="Q141" s="114"/>
      <c r="R141" s="114"/>
      <c r="S141" s="114"/>
      <c r="T141" s="114"/>
      <c r="U141" s="114"/>
      <c r="V141" s="114"/>
      <c r="W141" s="113" t="s">
        <v>11</v>
      </c>
    </row>
    <row r="142" spans="13:23" x14ac:dyDescent="0.25">
      <c r="M142" s="113" t="s">
        <v>21</v>
      </c>
      <c r="N142" s="114"/>
      <c r="O142" s="114"/>
      <c r="P142" s="114"/>
      <c r="Q142" s="114"/>
      <c r="R142" s="114"/>
      <c r="S142" s="114"/>
      <c r="T142" s="114"/>
      <c r="U142" s="114"/>
      <c r="V142" s="114"/>
      <c r="W142" s="113" t="s">
        <v>12</v>
      </c>
    </row>
    <row r="143" spans="13:23" x14ac:dyDescent="0.25">
      <c r="M143" s="113" t="s">
        <v>21</v>
      </c>
      <c r="N143" s="114"/>
      <c r="O143" s="114"/>
      <c r="P143" s="114"/>
      <c r="Q143" s="114"/>
      <c r="R143" s="114"/>
      <c r="S143" s="114"/>
      <c r="T143" s="114"/>
      <c r="U143" s="114"/>
      <c r="V143" s="114"/>
      <c r="W143" s="113" t="s">
        <v>13</v>
      </c>
    </row>
    <row r="144" spans="13:23" x14ac:dyDescent="0.25">
      <c r="M144" s="113" t="s">
        <v>21</v>
      </c>
      <c r="N144" s="114"/>
      <c r="O144" s="114"/>
      <c r="P144" s="114"/>
      <c r="Q144" s="114"/>
      <c r="R144" s="114"/>
      <c r="S144" s="114"/>
      <c r="T144" s="114"/>
      <c r="U144" s="114"/>
      <c r="V144" s="114"/>
      <c r="W144" s="113" t="s">
        <v>14</v>
      </c>
    </row>
    <row r="145" spans="13:23" x14ac:dyDescent="0.25">
      <c r="M145" s="113" t="s">
        <v>21</v>
      </c>
      <c r="N145" s="114"/>
      <c r="O145" s="114"/>
      <c r="P145" s="114"/>
      <c r="Q145" s="114"/>
      <c r="R145" s="114"/>
      <c r="S145" s="114"/>
      <c r="T145" s="114"/>
      <c r="U145" s="114"/>
      <c r="V145" s="114"/>
      <c r="W145" s="113" t="s">
        <v>15</v>
      </c>
    </row>
    <row r="146" spans="13:23" ht="30" x14ac:dyDescent="0.25">
      <c r="M146" s="113" t="s">
        <v>21</v>
      </c>
      <c r="N146" s="114"/>
      <c r="O146" s="114"/>
      <c r="P146" s="114"/>
      <c r="Q146" s="114"/>
      <c r="R146" s="114"/>
      <c r="S146" s="114"/>
      <c r="T146" s="114"/>
      <c r="U146" s="114"/>
      <c r="V146" s="114"/>
      <c r="W146" s="113" t="s">
        <v>16</v>
      </c>
    </row>
    <row r="147" spans="13:23" x14ac:dyDescent="0.25">
      <c r="M147" s="113" t="s">
        <v>21</v>
      </c>
      <c r="N147" s="114"/>
      <c r="O147" s="114"/>
      <c r="P147" s="114"/>
      <c r="Q147" s="114"/>
      <c r="R147" s="114"/>
      <c r="S147" s="114"/>
      <c r="T147" s="114"/>
      <c r="U147" s="114"/>
      <c r="V147" s="114"/>
      <c r="W147" s="113" t="s">
        <v>19</v>
      </c>
    </row>
    <row r="148" spans="13:23" x14ac:dyDescent="0.25">
      <c r="M148" s="113" t="s">
        <v>21</v>
      </c>
      <c r="N148" s="114"/>
      <c r="O148" s="114"/>
      <c r="P148" s="114"/>
      <c r="Q148" s="114"/>
      <c r="R148" s="114"/>
      <c r="S148" s="114"/>
      <c r="T148" s="114"/>
      <c r="U148" s="114"/>
      <c r="V148" s="114"/>
      <c r="W148" s="113" t="s">
        <v>20</v>
      </c>
    </row>
  </sheetData>
  <mergeCells count="1">
    <mergeCell ref="N3:V3"/>
  </mergeCells>
  <pageMargins left="0.7" right="0.7" top="0.75" bottom="0.75" header="0.3" footer="0.3"/>
  <pageSetup paperSize="9" scale="72" orientation="landscape" r:id="rId1"/>
  <rowBreaks count="1" manualBreakCount="1">
    <brk id="137" min="10" max="22" man="1"/>
  </rowBreaks>
  <colBreaks count="2" manualBreakCount="2">
    <brk id="12" max="147" man="1"/>
    <brk id="23" max="14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71"/>
  <sheetViews>
    <sheetView topLeftCell="A244" zoomScale="85" zoomScaleNormal="85" workbookViewId="0">
      <selection activeCell="E251" sqref="E251"/>
    </sheetView>
  </sheetViews>
  <sheetFormatPr defaultRowHeight="15" x14ac:dyDescent="0.25"/>
  <cols>
    <col min="1" max="1" width="19.28515625" customWidth="1"/>
    <col min="2" max="2" width="54.42578125" customWidth="1"/>
    <col min="3" max="3" width="19" customWidth="1"/>
    <col min="4" max="4" width="15.28515625" bestFit="1" customWidth="1"/>
    <col min="5" max="5" width="19.42578125" customWidth="1"/>
    <col min="6" max="6" width="13.85546875" customWidth="1"/>
    <col min="7" max="7" width="10.7109375" style="77" bestFit="1" customWidth="1"/>
    <col min="8" max="8" width="15.5703125" customWidth="1"/>
    <col min="9" max="9" width="13.7109375" customWidth="1"/>
    <col min="10" max="10" width="12" customWidth="1"/>
    <col min="11" max="11" width="15.5703125" customWidth="1"/>
    <col min="19" max="19" width="20.140625" customWidth="1"/>
    <col min="22" max="22" width="14.140625" bestFit="1" customWidth="1"/>
    <col min="23" max="23" width="9.42578125" bestFit="1" customWidth="1"/>
    <col min="24" max="24" width="8.42578125" bestFit="1" customWidth="1"/>
    <col min="25" max="25" width="9.28515625" bestFit="1" customWidth="1"/>
    <col min="26" max="26" width="21.5703125" bestFit="1" customWidth="1"/>
    <col min="27" max="27" width="20.7109375" bestFit="1" customWidth="1"/>
    <col min="28" max="28" width="15.5703125" bestFit="1" customWidth="1"/>
  </cols>
  <sheetData>
    <row r="2" spans="2:8" x14ac:dyDescent="0.25">
      <c r="B2" s="180" t="s">
        <v>0</v>
      </c>
    </row>
    <row r="3" spans="2:8" x14ac:dyDescent="0.25">
      <c r="B3" s="61" t="s">
        <v>92</v>
      </c>
      <c r="C3" s="176">
        <v>2016</v>
      </c>
      <c r="D3" s="176">
        <v>2015</v>
      </c>
      <c r="E3" s="176">
        <v>2014</v>
      </c>
      <c r="G3" s="178"/>
      <c r="H3" s="73"/>
    </row>
    <row r="4" spans="2:8" x14ac:dyDescent="0.25">
      <c r="B4" s="192" t="s">
        <v>112</v>
      </c>
      <c r="C4" s="177">
        <v>0.12740000000000001</v>
      </c>
      <c r="D4" s="175">
        <v>0.1236</v>
      </c>
      <c r="E4" s="175">
        <v>0.1391</v>
      </c>
    </row>
    <row r="5" spans="2:8" x14ac:dyDescent="0.25">
      <c r="B5" s="192" t="s">
        <v>99</v>
      </c>
      <c r="C5" s="177">
        <v>3.3399999999999999E-2</v>
      </c>
      <c r="D5" s="175">
        <v>3.8699999999999998E-2</v>
      </c>
      <c r="E5" s="175">
        <v>5.8599999999999999E-2</v>
      </c>
    </row>
    <row r="6" spans="2:8" x14ac:dyDescent="0.25">
      <c r="B6" s="192" t="s">
        <v>113</v>
      </c>
      <c r="C6" s="177"/>
      <c r="D6" s="175">
        <v>6.54E-2</v>
      </c>
      <c r="E6" s="175">
        <v>5.4600000000000003E-2</v>
      </c>
    </row>
    <row r="7" spans="2:8" x14ac:dyDescent="0.25">
      <c r="B7" s="192" t="s">
        <v>103</v>
      </c>
      <c r="C7" s="177"/>
      <c r="D7" s="175">
        <v>2.7699999999999999E-2</v>
      </c>
      <c r="E7" s="175">
        <v>2.5000000000000001E-2</v>
      </c>
    </row>
    <row r="8" spans="2:8" x14ac:dyDescent="0.25">
      <c r="B8" s="192" t="s">
        <v>11</v>
      </c>
      <c r="C8" s="177">
        <v>3.8300000000000001E-2</v>
      </c>
      <c r="D8" s="177">
        <v>7.1099999999999997E-2</v>
      </c>
      <c r="E8" s="177">
        <v>6.5500000000000003E-2</v>
      </c>
    </row>
    <row r="9" spans="2:8" x14ac:dyDescent="0.25">
      <c r="B9" s="192" t="s">
        <v>97</v>
      </c>
      <c r="C9" s="177">
        <v>1.4E-2</v>
      </c>
      <c r="D9" s="177">
        <v>4.2000000000000003E-2</v>
      </c>
      <c r="E9" s="177">
        <v>4.8500000000000001E-2</v>
      </c>
    </row>
    <row r="10" spans="2:8" x14ac:dyDescent="0.25">
      <c r="B10" s="192" t="s">
        <v>111</v>
      </c>
      <c r="C10" s="177">
        <v>2.2000000000000001E-3</v>
      </c>
      <c r="D10" s="177">
        <v>2E-3</v>
      </c>
      <c r="E10" s="177">
        <v>1.6999999999999999E-3</v>
      </c>
    </row>
    <row r="11" spans="2:8" x14ac:dyDescent="0.25">
      <c r="B11" s="192" t="s">
        <v>107</v>
      </c>
      <c r="C11" s="177">
        <v>0.03</v>
      </c>
      <c r="D11" s="177">
        <v>2.7799999999999998E-2</v>
      </c>
      <c r="E11" s="177">
        <v>2.1999999999999999E-2</v>
      </c>
      <c r="G11" s="99"/>
    </row>
    <row r="12" spans="2:8" x14ac:dyDescent="0.25">
      <c r="B12" s="192" t="s">
        <v>108</v>
      </c>
      <c r="D12" s="175">
        <v>4.0899999999999999E-2</v>
      </c>
      <c r="E12" s="175">
        <v>3.4000000000000002E-2</v>
      </c>
      <c r="G12" s="99"/>
    </row>
    <row r="13" spans="2:8" x14ac:dyDescent="0.25">
      <c r="B13" s="192" t="s">
        <v>100</v>
      </c>
      <c r="D13" s="175">
        <v>2.7000000000000001E-3</v>
      </c>
      <c r="E13" s="175">
        <v>3.4500000000000003E-2</v>
      </c>
    </row>
    <row r="14" spans="2:8" x14ac:dyDescent="0.25">
      <c r="B14" s="65" t="s">
        <v>109</v>
      </c>
      <c r="C14" s="177">
        <v>0.97760000000000002</v>
      </c>
      <c r="D14" s="175">
        <v>0.97409999999999997</v>
      </c>
      <c r="E14" s="175">
        <v>0.64810000000000001</v>
      </c>
    </row>
    <row r="15" spans="2:8" x14ac:dyDescent="0.25">
      <c r="B15" s="65" t="s">
        <v>110</v>
      </c>
      <c r="C15" s="177"/>
      <c r="D15" s="175">
        <v>0.53939999999999999</v>
      </c>
      <c r="E15" s="175">
        <v>0.5121</v>
      </c>
    </row>
    <row r="16" spans="2:8" x14ac:dyDescent="0.25">
      <c r="B16" s="65" t="s">
        <v>101</v>
      </c>
      <c r="C16" s="177"/>
      <c r="D16" s="175">
        <v>0.90300000000000002</v>
      </c>
      <c r="E16" s="175">
        <v>0.84140000000000004</v>
      </c>
    </row>
    <row r="17" spans="2:7" x14ac:dyDescent="0.25">
      <c r="B17" s="79" t="s">
        <v>95</v>
      </c>
      <c r="C17" s="179">
        <v>3618746556</v>
      </c>
      <c r="D17" s="179">
        <v>3518592629</v>
      </c>
      <c r="E17" s="179">
        <v>3896440258</v>
      </c>
    </row>
    <row r="18" spans="2:7" x14ac:dyDescent="0.25">
      <c r="B18" s="79"/>
      <c r="C18" s="177"/>
      <c r="D18" s="177"/>
      <c r="E18" s="177"/>
    </row>
    <row r="19" spans="2:7" x14ac:dyDescent="0.25">
      <c r="B19" s="181" t="s">
        <v>93</v>
      </c>
    </row>
    <row r="20" spans="2:7" x14ac:dyDescent="0.25">
      <c r="B20" s="61" t="s">
        <v>92</v>
      </c>
      <c r="C20" s="176">
        <v>2016</v>
      </c>
      <c r="D20" s="176">
        <v>2015</v>
      </c>
      <c r="E20" s="176">
        <v>2014</v>
      </c>
    </row>
    <row r="21" spans="2:7" s="65" customFormat="1" x14ac:dyDescent="0.25">
      <c r="B21" s="192" t="s">
        <v>112</v>
      </c>
      <c r="C21" s="175">
        <v>0.1401</v>
      </c>
      <c r="D21" s="175">
        <v>0.1285</v>
      </c>
      <c r="E21" s="175">
        <v>0.14119999999999999</v>
      </c>
      <c r="G21" s="99"/>
    </row>
    <row r="22" spans="2:7" s="65" customFormat="1" x14ac:dyDescent="0.25">
      <c r="B22" s="192" t="s">
        <v>99</v>
      </c>
      <c r="C22" s="175">
        <v>0.04</v>
      </c>
      <c r="D22" s="175">
        <v>5.28E-2</v>
      </c>
      <c r="E22" s="175">
        <v>5.6599999999999998E-2</v>
      </c>
      <c r="G22" s="99"/>
    </row>
    <row r="23" spans="2:7" s="65" customFormat="1" x14ac:dyDescent="0.25">
      <c r="B23" s="192" t="s">
        <v>113</v>
      </c>
      <c r="C23" s="175">
        <v>4.0300000000000002E-2</v>
      </c>
      <c r="D23" s="175">
        <v>5.0799999999999998E-2</v>
      </c>
      <c r="E23" s="175">
        <v>5.6800000000000003E-2</v>
      </c>
      <c r="G23" s="99"/>
    </row>
    <row r="24" spans="2:7" s="65" customFormat="1" x14ac:dyDescent="0.25">
      <c r="B24" s="192" t="s">
        <v>103</v>
      </c>
      <c r="C24" s="175">
        <v>2.76E-2</v>
      </c>
      <c r="D24" s="175">
        <v>3.1199999999999999E-2</v>
      </c>
      <c r="E24" s="175">
        <v>3.0599999999999999E-2</v>
      </c>
      <c r="G24" s="99"/>
    </row>
    <row r="25" spans="2:7" s="65" customFormat="1" x14ac:dyDescent="0.25">
      <c r="B25" s="192" t="s">
        <v>11</v>
      </c>
      <c r="C25" s="175">
        <v>4.9200000000000001E-2</v>
      </c>
      <c r="D25" s="175">
        <v>6.0600000000000001E-2</v>
      </c>
      <c r="E25" s="175">
        <v>6.8400000000000002E-2</v>
      </c>
      <c r="G25" s="99"/>
    </row>
    <row r="26" spans="2:7" s="65" customFormat="1" x14ac:dyDescent="0.25">
      <c r="B26" s="192" t="s">
        <v>97</v>
      </c>
      <c r="C26" s="175">
        <v>3.1300000000000001E-2</v>
      </c>
      <c r="D26" s="175">
        <v>4.0500000000000001E-2</v>
      </c>
      <c r="E26" s="175">
        <v>4.2900000000000001E-2</v>
      </c>
      <c r="G26" s="99"/>
    </row>
    <row r="27" spans="2:7" s="65" customFormat="1" x14ac:dyDescent="0.25">
      <c r="B27" s="192" t="s">
        <v>111</v>
      </c>
      <c r="C27" s="175">
        <v>5.8999999999999999E-3</v>
      </c>
      <c r="D27" s="175">
        <v>5.5999999999999999E-3</v>
      </c>
      <c r="E27" s="175">
        <v>-4.0000000000000002E-4</v>
      </c>
      <c r="G27" s="99"/>
    </row>
    <row r="28" spans="2:7" x14ac:dyDescent="0.25">
      <c r="B28" s="192" t="s">
        <v>107</v>
      </c>
      <c r="C28" s="175">
        <v>5.8099999999999999E-2</v>
      </c>
      <c r="D28" s="175">
        <v>5.9200000000000003E-2</v>
      </c>
      <c r="E28" s="175">
        <v>-9.4000000000000004E-3</v>
      </c>
    </row>
    <row r="29" spans="2:7" x14ac:dyDescent="0.25">
      <c r="B29" s="192" t="s">
        <v>108</v>
      </c>
      <c r="C29" s="175">
        <v>6.1600000000000002E-2</v>
      </c>
      <c r="D29" s="175">
        <v>6.5299999999999997E-2</v>
      </c>
      <c r="E29" s="175">
        <v>6.2E-2</v>
      </c>
    </row>
    <row r="30" spans="2:7" x14ac:dyDescent="0.25">
      <c r="B30" s="192" t="s">
        <v>100</v>
      </c>
      <c r="C30" s="175">
        <v>6.4000000000000003E-3</v>
      </c>
      <c r="D30" s="175">
        <v>5.7999999999999996E-3</v>
      </c>
      <c r="E30" s="175">
        <v>-6.9999999999999999E-4</v>
      </c>
    </row>
    <row r="31" spans="2:7" x14ac:dyDescent="0.25">
      <c r="B31" s="65" t="s">
        <v>109</v>
      </c>
      <c r="C31" s="175">
        <v>0.94440000000000002</v>
      </c>
      <c r="D31" s="175">
        <v>0.94779999999999998</v>
      </c>
      <c r="E31" s="175">
        <v>1.006</v>
      </c>
    </row>
    <row r="32" spans="2:7" x14ac:dyDescent="0.25">
      <c r="B32" s="65" t="s">
        <v>110</v>
      </c>
      <c r="C32" s="175">
        <v>0.29430000000000001</v>
      </c>
      <c r="D32" s="175">
        <v>0.26469999999999999</v>
      </c>
      <c r="E32" s="175">
        <v>0.22059999999999999</v>
      </c>
    </row>
    <row r="33" spans="2:7" x14ac:dyDescent="0.25">
      <c r="B33" s="65" t="s">
        <v>101</v>
      </c>
      <c r="C33" s="175">
        <v>0.79190000000000005</v>
      </c>
      <c r="D33" s="175">
        <v>0.81989999999999996</v>
      </c>
      <c r="E33" s="175">
        <v>0.81920000000000004</v>
      </c>
    </row>
    <row r="34" spans="2:7" x14ac:dyDescent="0.25">
      <c r="B34" s="79" t="s">
        <v>95</v>
      </c>
      <c r="C34" s="179">
        <v>6392437</v>
      </c>
      <c r="D34" s="179">
        <v>6187390</v>
      </c>
      <c r="E34" s="179">
        <v>5328329</v>
      </c>
    </row>
    <row r="36" spans="2:7" x14ac:dyDescent="0.25">
      <c r="D36" s="175"/>
    </row>
    <row r="37" spans="2:7" x14ac:dyDescent="0.25">
      <c r="B37" s="182" t="s">
        <v>96</v>
      </c>
      <c r="C37" s="175"/>
      <c r="D37" s="175"/>
    </row>
    <row r="38" spans="2:7" x14ac:dyDescent="0.25">
      <c r="B38" s="61" t="s">
        <v>92</v>
      </c>
      <c r="C38" s="176">
        <v>2016</v>
      </c>
      <c r="D38" s="176">
        <v>2015</v>
      </c>
      <c r="E38" s="176">
        <v>2014</v>
      </c>
    </row>
    <row r="39" spans="2:7" s="65" customFormat="1" x14ac:dyDescent="0.25">
      <c r="B39" s="192" t="s">
        <v>112</v>
      </c>
      <c r="C39" s="197">
        <v>0.1492</v>
      </c>
      <c r="D39" s="197">
        <v>0.15479999999999999</v>
      </c>
      <c r="E39" s="197">
        <v>0.16259999999999999</v>
      </c>
      <c r="G39" s="99"/>
    </row>
    <row r="40" spans="2:7" s="65" customFormat="1" x14ac:dyDescent="0.25">
      <c r="B40" s="192" t="s">
        <v>99</v>
      </c>
      <c r="C40" s="197">
        <v>2.4299999999999999E-2</v>
      </c>
      <c r="D40" s="197">
        <v>2.35E-2</v>
      </c>
      <c r="E40" s="198"/>
      <c r="G40" s="99"/>
    </row>
    <row r="41" spans="2:7" s="65" customFormat="1" x14ac:dyDescent="0.25">
      <c r="B41" s="192" t="s">
        <v>113</v>
      </c>
      <c r="C41" s="197">
        <v>2.4400000000000002E-2</v>
      </c>
      <c r="D41" s="197">
        <v>2.23E-2</v>
      </c>
      <c r="E41" s="197">
        <v>1.61E-2</v>
      </c>
      <c r="G41" s="99"/>
    </row>
    <row r="42" spans="2:7" s="65" customFormat="1" x14ac:dyDescent="0.25">
      <c r="B42" s="192" t="s">
        <v>103</v>
      </c>
      <c r="C42" s="197">
        <v>2.2800000000000001E-2</v>
      </c>
      <c r="D42" s="197">
        <v>1.9E-2</v>
      </c>
      <c r="E42" s="197">
        <v>1.4500000000000001E-2</v>
      </c>
      <c r="G42" s="99"/>
    </row>
    <row r="43" spans="2:7" s="65" customFormat="1" x14ac:dyDescent="0.25">
      <c r="B43" s="192" t="s">
        <v>11</v>
      </c>
      <c r="C43" s="199">
        <v>2.9399999999999999E-2</v>
      </c>
      <c r="D43" s="199">
        <v>2.53E-2</v>
      </c>
      <c r="E43" s="199">
        <v>1.8599999999999998E-2</v>
      </c>
      <c r="G43" s="99"/>
    </row>
    <row r="44" spans="2:7" s="65" customFormat="1" x14ac:dyDescent="0.25">
      <c r="B44" s="192" t="s">
        <v>97</v>
      </c>
      <c r="C44" s="199">
        <v>1.6400000000000001E-2</v>
      </c>
      <c r="D44" s="199">
        <v>1.46E-2</v>
      </c>
      <c r="E44" s="199">
        <v>1.04E-2</v>
      </c>
      <c r="G44" s="99"/>
    </row>
    <row r="45" spans="2:7" s="65" customFormat="1" x14ac:dyDescent="0.25">
      <c r="B45" s="192" t="s">
        <v>111</v>
      </c>
      <c r="C45" s="199">
        <v>1.44E-2</v>
      </c>
      <c r="D45" s="199">
        <v>1.43E-2</v>
      </c>
      <c r="E45" s="199">
        <v>1.2699999999999999E-2</v>
      </c>
      <c r="G45" s="99"/>
    </row>
    <row r="46" spans="2:7" s="65" customFormat="1" x14ac:dyDescent="0.25">
      <c r="B46" s="192" t="s">
        <v>107</v>
      </c>
      <c r="C46" s="199">
        <v>0.11940000000000001</v>
      </c>
      <c r="D46" s="199">
        <v>0.1139</v>
      </c>
      <c r="E46" s="199">
        <v>0.10829999999999999</v>
      </c>
      <c r="G46" s="99"/>
    </row>
    <row r="47" spans="2:7" s="65" customFormat="1" x14ac:dyDescent="0.25">
      <c r="B47" s="192" t="s">
        <v>108</v>
      </c>
      <c r="C47" s="197">
        <v>8.3199999999999996E-2</v>
      </c>
      <c r="D47" s="197">
        <v>8.2500000000000004E-2</v>
      </c>
      <c r="E47" s="197">
        <v>8.1500000000000003E-2</v>
      </c>
      <c r="G47" s="99"/>
    </row>
    <row r="48" spans="2:7" s="65" customFormat="1" x14ac:dyDescent="0.25">
      <c r="B48" s="192" t="s">
        <v>100</v>
      </c>
      <c r="C48" s="197">
        <v>8.9999999999999993E-3</v>
      </c>
      <c r="D48" s="197">
        <v>6.7000000000000002E-3</v>
      </c>
      <c r="E48" s="198"/>
      <c r="G48" s="99"/>
    </row>
    <row r="49" spans="2:7" s="65" customFormat="1" x14ac:dyDescent="0.25">
      <c r="B49" s="65" t="s">
        <v>109</v>
      </c>
      <c r="C49" s="199">
        <v>0.87670000000000003</v>
      </c>
      <c r="D49" s="199">
        <v>0.89629999999999999</v>
      </c>
      <c r="E49" s="199">
        <v>0.89800000000000002</v>
      </c>
      <c r="G49" s="99"/>
    </row>
    <row r="50" spans="2:7" s="65" customFormat="1" x14ac:dyDescent="0.25">
      <c r="B50" s="65" t="s">
        <v>110</v>
      </c>
      <c r="C50" s="197">
        <v>0.20549999999999999</v>
      </c>
      <c r="D50" s="197">
        <v>0.19409999999999999</v>
      </c>
      <c r="E50" s="197"/>
      <c r="G50" s="99"/>
    </row>
    <row r="51" spans="2:7" s="65" customFormat="1" x14ac:dyDescent="0.25">
      <c r="B51" s="65" t="s">
        <v>101</v>
      </c>
      <c r="C51" s="197">
        <v>0.84570000000000001</v>
      </c>
      <c r="D51" s="197">
        <v>0.9194</v>
      </c>
      <c r="E51" s="199">
        <v>0.92600000000000005</v>
      </c>
      <c r="G51" s="99"/>
    </row>
    <row r="52" spans="2:7" x14ac:dyDescent="0.25">
      <c r="B52" s="79" t="s">
        <v>95</v>
      </c>
      <c r="C52" s="183">
        <v>2486566</v>
      </c>
      <c r="D52" s="183">
        <v>2215658</v>
      </c>
      <c r="E52" s="179">
        <v>2004358</v>
      </c>
    </row>
    <row r="53" spans="2:7" x14ac:dyDescent="0.25">
      <c r="B53" s="79"/>
      <c r="C53" s="175"/>
      <c r="D53" s="175"/>
      <c r="E53" s="175"/>
    </row>
    <row r="54" spans="2:7" x14ac:dyDescent="0.25">
      <c r="B54" s="186" t="s">
        <v>98</v>
      </c>
      <c r="C54" s="175"/>
      <c r="D54" s="175"/>
      <c r="E54" s="175"/>
    </row>
    <row r="55" spans="2:7" x14ac:dyDescent="0.25">
      <c r="B55" s="61" t="s">
        <v>92</v>
      </c>
      <c r="C55" s="176">
        <v>2016</v>
      </c>
      <c r="D55" s="176">
        <v>2015</v>
      </c>
      <c r="E55" s="176">
        <v>2014</v>
      </c>
    </row>
    <row r="56" spans="2:7" x14ac:dyDescent="0.25">
      <c r="B56" s="192" t="s">
        <v>112</v>
      </c>
      <c r="C56" s="175">
        <v>0.20630000000000001</v>
      </c>
      <c r="D56" s="175">
        <v>0.1394</v>
      </c>
      <c r="E56" s="175">
        <v>0.12889999999999999</v>
      </c>
    </row>
    <row r="57" spans="2:7" x14ac:dyDescent="0.25">
      <c r="B57" s="192" t="s">
        <v>99</v>
      </c>
      <c r="C57" s="175">
        <v>3.09E-2</v>
      </c>
      <c r="D57" s="175">
        <v>3.3799999999999997E-2</v>
      </c>
      <c r="E57" s="175"/>
    </row>
    <row r="58" spans="2:7" x14ac:dyDescent="0.25">
      <c r="B58" s="192" t="s">
        <v>113</v>
      </c>
      <c r="C58" s="175">
        <v>3.0300000000000001E-2</v>
      </c>
      <c r="D58" s="175">
        <v>3.3799999999999997E-2</v>
      </c>
      <c r="E58" s="175">
        <v>3.5900000000000001E-2</v>
      </c>
    </row>
    <row r="59" spans="2:7" x14ac:dyDescent="0.25">
      <c r="B59" s="192" t="s">
        <v>103</v>
      </c>
      <c r="C59" s="175">
        <v>1.8200000000000001E-2</v>
      </c>
      <c r="D59" s="175">
        <v>1.5599999999999999E-2</v>
      </c>
      <c r="E59" s="175">
        <v>1.3899999999999999E-2</v>
      </c>
    </row>
    <row r="60" spans="2:7" x14ac:dyDescent="0.25">
      <c r="B60" s="192" t="s">
        <v>11</v>
      </c>
      <c r="C60" s="175">
        <v>4.5699999999999998E-2</v>
      </c>
      <c r="D60" s="175">
        <v>4.8599999999999997E-2</v>
      </c>
      <c r="E60" s="175">
        <v>4.5999999999999999E-2</v>
      </c>
    </row>
    <row r="61" spans="2:7" x14ac:dyDescent="0.25">
      <c r="B61" s="192" t="s">
        <v>97</v>
      </c>
      <c r="C61" s="175">
        <v>3.1899999999999998E-2</v>
      </c>
      <c r="D61" s="175">
        <v>3.8899999999999997E-2</v>
      </c>
      <c r="E61" s="175">
        <v>3.6499999999999998E-2</v>
      </c>
    </row>
    <row r="62" spans="2:7" x14ac:dyDescent="0.25">
      <c r="B62" s="192" t="s">
        <v>111</v>
      </c>
      <c r="C62" s="175">
        <v>9.4999999999999998E-3</v>
      </c>
      <c r="D62" s="175">
        <v>7.7000000000000002E-3</v>
      </c>
      <c r="E62" s="175">
        <v>8.0000000000000004E-4</v>
      </c>
    </row>
    <row r="63" spans="2:7" x14ac:dyDescent="0.25">
      <c r="B63" s="192" t="s">
        <v>107</v>
      </c>
      <c r="C63" s="175">
        <v>7.3999999999999996E-2</v>
      </c>
      <c r="D63" s="175">
        <v>6.3299999999999995E-2</v>
      </c>
      <c r="E63" s="175">
        <v>4.4000000000000003E-3</v>
      </c>
    </row>
    <row r="64" spans="2:7" x14ac:dyDescent="0.25">
      <c r="B64" s="192" t="s">
        <v>108</v>
      </c>
      <c r="C64" s="175">
        <v>6.3799999999999996E-2</v>
      </c>
      <c r="D64" s="175">
        <v>6.3799999999999996E-2</v>
      </c>
      <c r="E64" s="175">
        <v>6.0400000000000002E-2</v>
      </c>
    </row>
    <row r="65" spans="2:5" x14ac:dyDescent="0.25">
      <c r="B65" s="192" t="s">
        <v>100</v>
      </c>
      <c r="C65" s="175">
        <v>3.8999999999999998E-3</v>
      </c>
      <c r="D65" s="175">
        <v>6.9999999999999999E-4</v>
      </c>
      <c r="E65" s="175"/>
    </row>
    <row r="66" spans="2:5" x14ac:dyDescent="0.25">
      <c r="B66" s="65" t="s">
        <v>109</v>
      </c>
      <c r="C66" s="175">
        <v>0.9133</v>
      </c>
      <c r="D66" s="175">
        <v>0.93789999999999996</v>
      </c>
      <c r="E66" s="175"/>
    </row>
    <row r="67" spans="2:5" x14ac:dyDescent="0.25">
      <c r="B67" s="65" t="s">
        <v>110</v>
      </c>
      <c r="C67" s="175">
        <v>0.36959999999999998</v>
      </c>
      <c r="D67" s="175">
        <v>0.37240000000000001</v>
      </c>
    </row>
    <row r="68" spans="2:5" x14ac:dyDescent="0.25">
      <c r="B68" s="65" t="s">
        <v>101</v>
      </c>
      <c r="C68" s="175">
        <v>0.81420000000000003</v>
      </c>
      <c r="D68" s="175">
        <v>0.84160000000000001</v>
      </c>
      <c r="E68" s="175">
        <v>0.93899999999999995</v>
      </c>
    </row>
    <row r="69" spans="2:5" x14ac:dyDescent="0.25">
      <c r="B69" s="79" t="s">
        <v>95</v>
      </c>
      <c r="C69" s="179">
        <v>3467400</v>
      </c>
      <c r="D69" s="179">
        <v>2343249</v>
      </c>
      <c r="E69" s="179">
        <v>1767087</v>
      </c>
    </row>
    <row r="70" spans="2:5" x14ac:dyDescent="0.25">
      <c r="B70" s="188" t="s">
        <v>102</v>
      </c>
      <c r="C70" s="175"/>
      <c r="D70" s="175"/>
      <c r="E70" s="175"/>
    </row>
    <row r="71" spans="2:5" x14ac:dyDescent="0.25">
      <c r="B71" s="61" t="s">
        <v>92</v>
      </c>
      <c r="C71" s="176">
        <v>2016</v>
      </c>
      <c r="D71" s="176">
        <v>2015</v>
      </c>
      <c r="E71" s="176">
        <v>2014</v>
      </c>
    </row>
    <row r="72" spans="2:5" x14ac:dyDescent="0.25">
      <c r="B72" s="192" t="s">
        <v>112</v>
      </c>
      <c r="C72" s="187">
        <v>0.17</v>
      </c>
      <c r="D72" s="187">
        <v>0.16309999999999999</v>
      </c>
      <c r="E72" s="187">
        <v>0.14799999999999999</v>
      </c>
    </row>
    <row r="73" spans="2:5" x14ac:dyDescent="0.25">
      <c r="B73" s="192" t="s">
        <v>99</v>
      </c>
      <c r="C73" s="187">
        <v>2.3599999999999999E-2</v>
      </c>
      <c r="D73" s="187">
        <v>2.4400000000000002E-2</v>
      </c>
      <c r="E73" s="187">
        <v>3.2199999999999999E-2</v>
      </c>
    </row>
    <row r="74" spans="2:5" x14ac:dyDescent="0.25">
      <c r="B74" s="192" t="s">
        <v>113</v>
      </c>
      <c r="C74" s="187">
        <v>2.3900000000000001E-2</v>
      </c>
      <c r="D74" s="187">
        <v>2.4400000000000002E-2</v>
      </c>
      <c r="E74" s="187">
        <v>3.2599999999999997E-2</v>
      </c>
    </row>
    <row r="75" spans="2:5" x14ac:dyDescent="0.25">
      <c r="B75" s="192" t="s">
        <v>103</v>
      </c>
      <c r="C75" s="187">
        <v>1.6E-2</v>
      </c>
      <c r="D75" s="187">
        <v>1.3599999999999999E-2</v>
      </c>
      <c r="E75" s="187">
        <v>1.3899999999999999E-2</v>
      </c>
    </row>
    <row r="76" spans="2:5" x14ac:dyDescent="0.25">
      <c r="B76" s="192" t="s">
        <v>11</v>
      </c>
      <c r="C76" s="187">
        <v>3.1699999999999999E-2</v>
      </c>
      <c r="D76" s="187">
        <v>2.9899999999999999E-2</v>
      </c>
      <c r="E76" s="187">
        <v>4.07E-2</v>
      </c>
    </row>
    <row r="77" spans="2:5" x14ac:dyDescent="0.25">
      <c r="B77" s="192" t="s">
        <v>97</v>
      </c>
      <c r="C77" s="187">
        <v>2.7199999999999998E-2</v>
      </c>
      <c r="D77" s="187">
        <v>2.7400000000000001E-2</v>
      </c>
      <c r="E77" s="187">
        <v>3.3399999999999999E-2</v>
      </c>
    </row>
    <row r="78" spans="2:5" x14ac:dyDescent="0.25">
      <c r="B78" s="192" t="s">
        <v>111</v>
      </c>
      <c r="C78" s="187">
        <v>7.6E-3</v>
      </c>
      <c r="D78" s="187">
        <v>7.9000000000000008E-3</v>
      </c>
      <c r="E78" s="187">
        <v>2.7000000000000001E-3</v>
      </c>
    </row>
    <row r="79" spans="2:5" x14ac:dyDescent="0.25">
      <c r="B79" s="192" t="s">
        <v>107</v>
      </c>
      <c r="C79" s="187">
        <v>5.1499999999999997E-2</v>
      </c>
      <c r="D79" s="187">
        <v>5.3499999999999999E-2</v>
      </c>
      <c r="E79" s="187">
        <v>2.3900000000000001E-2</v>
      </c>
    </row>
    <row r="80" spans="2:5" x14ac:dyDescent="0.25">
      <c r="B80" s="192" t="s">
        <v>108</v>
      </c>
      <c r="C80" s="187">
        <v>3.3099999999999997E-2</v>
      </c>
      <c r="D80" s="187">
        <v>3.1399999999999997E-2</v>
      </c>
      <c r="E80" s="187">
        <v>2.75E-2</v>
      </c>
    </row>
    <row r="81" spans="2:5" x14ac:dyDescent="0.25">
      <c r="B81" s="192" t="s">
        <v>100</v>
      </c>
      <c r="C81" s="187">
        <v>4.0000000000000001E-3</v>
      </c>
      <c r="D81" s="187">
        <v>2.7000000000000001E-3</v>
      </c>
      <c r="E81" s="187">
        <v>1.6000000000000001E-3</v>
      </c>
    </row>
    <row r="82" spans="2:5" x14ac:dyDescent="0.25">
      <c r="B82" s="65" t="s">
        <v>109</v>
      </c>
      <c r="C82" s="187">
        <v>0.91759999999999997</v>
      </c>
      <c r="D82" s="187">
        <v>0.91990000000000005</v>
      </c>
      <c r="E82" s="187">
        <v>0.9677</v>
      </c>
    </row>
    <row r="83" spans="2:5" x14ac:dyDescent="0.25">
      <c r="B83" s="65" t="s">
        <v>110</v>
      </c>
      <c r="C83" s="187">
        <v>0.52559999999999996</v>
      </c>
      <c r="D83" s="187">
        <v>0.48089999999999999</v>
      </c>
      <c r="E83" s="187">
        <v>0.39400000000000002</v>
      </c>
    </row>
    <row r="84" spans="2:5" x14ac:dyDescent="0.25">
      <c r="B84" s="65" t="s">
        <v>101</v>
      </c>
      <c r="C84" s="187">
        <v>0.88180000000000003</v>
      </c>
      <c r="D84" s="187">
        <v>0.90559999999999996</v>
      </c>
      <c r="E84" s="187">
        <v>0.92889999999999995</v>
      </c>
    </row>
    <row r="85" spans="2:5" x14ac:dyDescent="0.25">
      <c r="B85" s="79" t="s">
        <v>95</v>
      </c>
      <c r="C85" s="179">
        <v>798568</v>
      </c>
      <c r="D85" s="179">
        <v>633083</v>
      </c>
      <c r="E85" s="179">
        <v>503633</v>
      </c>
    </row>
    <row r="86" spans="2:5" x14ac:dyDescent="0.25">
      <c r="B86" s="79"/>
      <c r="C86" s="179"/>
      <c r="D86" s="179"/>
      <c r="E86" s="179"/>
    </row>
    <row r="87" spans="2:5" x14ac:dyDescent="0.25">
      <c r="B87" s="189" t="s">
        <v>104</v>
      </c>
      <c r="C87" s="175"/>
      <c r="D87" s="175"/>
      <c r="E87" s="175"/>
    </row>
    <row r="88" spans="2:5" x14ac:dyDescent="0.25">
      <c r="B88" s="61" t="s">
        <v>92</v>
      </c>
      <c r="C88" s="176">
        <v>2016</v>
      </c>
      <c r="D88" s="176">
        <v>2015</v>
      </c>
      <c r="E88" s="176">
        <v>2014</v>
      </c>
    </row>
    <row r="89" spans="2:5" x14ac:dyDescent="0.25">
      <c r="B89" s="192" t="s">
        <v>112</v>
      </c>
      <c r="C89" s="175">
        <v>0.23530000000000001</v>
      </c>
      <c r="D89" s="175">
        <v>0.18740000000000001</v>
      </c>
      <c r="E89" s="175">
        <v>0.18820000000000001</v>
      </c>
    </row>
    <row r="90" spans="2:5" x14ac:dyDescent="0.25">
      <c r="B90" s="192" t="s">
        <v>99</v>
      </c>
      <c r="C90" s="175">
        <v>2.52E-2</v>
      </c>
      <c r="D90" s="175">
        <v>3.3099999999999997E-2</v>
      </c>
      <c r="E90" s="175">
        <v>3.09E-2</v>
      </c>
    </row>
    <row r="91" spans="2:5" x14ac:dyDescent="0.25">
      <c r="B91" s="192" t="s">
        <v>113</v>
      </c>
      <c r="C91" s="175">
        <v>2.9899999999999999E-2</v>
      </c>
      <c r="D91" s="175">
        <v>3.9300000000000002E-2</v>
      </c>
      <c r="E91" s="175">
        <v>3.4299999999999997E-2</v>
      </c>
    </row>
    <row r="92" spans="2:5" x14ac:dyDescent="0.25">
      <c r="B92" s="192" t="s">
        <v>103</v>
      </c>
      <c r="C92" s="175">
        <v>9.2999999999999992E-3</v>
      </c>
      <c r="D92" s="175">
        <v>2.5000000000000001E-2</v>
      </c>
      <c r="E92" s="175">
        <v>2.53E-2</v>
      </c>
    </row>
    <row r="93" spans="2:5" x14ac:dyDescent="0.25">
      <c r="B93" s="192" t="s">
        <v>11</v>
      </c>
      <c r="C93" s="175">
        <v>3.3000000000000002E-2</v>
      </c>
      <c r="D93" s="175">
        <v>4.2599999999999999E-2</v>
      </c>
      <c r="E93" s="175">
        <v>3.8899999999999997E-2</v>
      </c>
    </row>
    <row r="94" spans="2:5" x14ac:dyDescent="0.25">
      <c r="B94" s="192" t="s">
        <v>97</v>
      </c>
      <c r="C94" s="175">
        <v>2.81E-2</v>
      </c>
      <c r="D94" s="175">
        <v>3.1600000000000003E-2</v>
      </c>
      <c r="E94" s="175">
        <v>1.8100000000000002E-2</v>
      </c>
    </row>
    <row r="95" spans="2:5" x14ac:dyDescent="0.25">
      <c r="B95" s="192" t="s">
        <v>111</v>
      </c>
      <c r="C95" s="175">
        <v>2.63E-2</v>
      </c>
      <c r="D95" s="175">
        <v>3.0000000000000001E-3</v>
      </c>
      <c r="E95" s="175">
        <v>2.8999999999999998E-3</v>
      </c>
    </row>
    <row r="96" spans="2:5" x14ac:dyDescent="0.25">
      <c r="B96" s="192" t="s">
        <v>107</v>
      </c>
      <c r="C96" s="175">
        <v>0.1197</v>
      </c>
      <c r="D96" s="175">
        <v>1.61E-2</v>
      </c>
      <c r="E96" s="175">
        <v>2.5000000000000001E-2</v>
      </c>
    </row>
    <row r="97" spans="2:5" x14ac:dyDescent="0.25">
      <c r="B97" s="192" t="s">
        <v>108</v>
      </c>
      <c r="C97" s="175">
        <v>7.5600000000000001E-2</v>
      </c>
      <c r="D97" s="175">
        <v>9.3399999999999997E-2</v>
      </c>
      <c r="E97" s="175">
        <v>8.3299999999999999E-2</v>
      </c>
    </row>
    <row r="98" spans="2:5" x14ac:dyDescent="0.25">
      <c r="B98" s="192" t="s">
        <v>100</v>
      </c>
      <c r="C98" s="175">
        <v>2.4400000000000002E-2</v>
      </c>
      <c r="D98" s="175">
        <v>-3.3999999999999998E-3</v>
      </c>
      <c r="E98" s="175">
        <v>3.2000000000000002E-3</v>
      </c>
    </row>
    <row r="99" spans="2:5" x14ac:dyDescent="0.25">
      <c r="B99" s="65" t="s">
        <v>109</v>
      </c>
      <c r="C99" s="175">
        <v>0.88160000000000005</v>
      </c>
      <c r="D99" s="175">
        <v>0.99509999999999998</v>
      </c>
      <c r="E99" s="175">
        <v>0.97609999999999997</v>
      </c>
    </row>
    <row r="100" spans="2:5" x14ac:dyDescent="0.25">
      <c r="B100" s="65" t="s">
        <v>110</v>
      </c>
      <c r="C100" s="175">
        <v>7.2900000000000006E-2</v>
      </c>
      <c r="D100" s="175">
        <v>1.3899999999999999E-2</v>
      </c>
      <c r="E100" s="175">
        <v>0</v>
      </c>
    </row>
    <row r="101" spans="2:5" x14ac:dyDescent="0.25">
      <c r="B101" s="65" t="s">
        <v>101</v>
      </c>
      <c r="C101" s="175">
        <v>0.95240000000000002</v>
      </c>
      <c r="D101" s="175">
        <v>0.9849</v>
      </c>
      <c r="E101" s="175">
        <v>0.93610000000000004</v>
      </c>
    </row>
    <row r="102" spans="2:5" x14ac:dyDescent="0.25">
      <c r="B102" s="79" t="s">
        <v>95</v>
      </c>
      <c r="C102" s="179">
        <v>1061801</v>
      </c>
      <c r="D102" s="179">
        <v>874286</v>
      </c>
      <c r="E102" s="179">
        <v>787449</v>
      </c>
    </row>
    <row r="103" spans="2:5" x14ac:dyDescent="0.25">
      <c r="B103" s="79"/>
      <c r="C103" s="179"/>
      <c r="D103" s="179"/>
      <c r="E103" s="179"/>
    </row>
    <row r="104" spans="2:5" x14ac:dyDescent="0.25">
      <c r="B104" s="189" t="s">
        <v>105</v>
      </c>
      <c r="C104" s="175"/>
      <c r="D104" s="175"/>
      <c r="E104" s="175"/>
    </row>
    <row r="105" spans="2:5" x14ac:dyDescent="0.25">
      <c r="B105" s="61" t="s">
        <v>92</v>
      </c>
      <c r="C105" s="176">
        <v>2016</v>
      </c>
      <c r="D105" s="176">
        <v>2015</v>
      </c>
      <c r="E105" s="176">
        <v>2014</v>
      </c>
    </row>
    <row r="106" spans="2:5" x14ac:dyDescent="0.25">
      <c r="B106" s="192" t="s">
        <v>112</v>
      </c>
      <c r="C106" s="175">
        <v>0.55059999999999998</v>
      </c>
      <c r="D106" s="175">
        <v>0.38400000000000001</v>
      </c>
      <c r="E106" s="175">
        <v>0.52129999999999999</v>
      </c>
    </row>
    <row r="107" spans="2:5" x14ac:dyDescent="0.25">
      <c r="B107" s="192" t="s">
        <v>99</v>
      </c>
      <c r="C107" s="175">
        <v>0.31140000000000001</v>
      </c>
      <c r="D107" s="175">
        <v>0.27700000000000002</v>
      </c>
      <c r="E107" s="175">
        <v>4.4400000000000002E-2</v>
      </c>
    </row>
    <row r="108" spans="2:5" x14ac:dyDescent="0.25">
      <c r="B108" s="192" t="s">
        <v>113</v>
      </c>
      <c r="C108" s="175">
        <v>0.31509999999999999</v>
      </c>
      <c r="D108" s="175">
        <v>0.27610000000000001</v>
      </c>
      <c r="E108" s="175">
        <v>4.3200000000000002E-2</v>
      </c>
    </row>
    <row r="109" spans="2:5" x14ac:dyDescent="0.25">
      <c r="B109" s="192" t="s">
        <v>103</v>
      </c>
      <c r="C109" s="175">
        <v>0.29949999999999999</v>
      </c>
      <c r="D109" s="175">
        <v>0.25729999999999997</v>
      </c>
      <c r="E109" s="175">
        <v>1.54E-2</v>
      </c>
    </row>
    <row r="110" spans="2:5" x14ac:dyDescent="0.25">
      <c r="B110" s="192" t="s">
        <v>11</v>
      </c>
      <c r="C110" s="175">
        <v>0.43990000000000001</v>
      </c>
      <c r="D110" s="175">
        <v>0.35149999999999998</v>
      </c>
      <c r="E110" s="175">
        <v>5.04E-2</v>
      </c>
    </row>
    <row r="111" spans="2:5" x14ac:dyDescent="0.25">
      <c r="B111" s="192" t="s">
        <v>97</v>
      </c>
      <c r="C111" s="175">
        <v>4.5999999999999999E-2</v>
      </c>
      <c r="D111" s="175">
        <v>4.9299999999999997E-2</v>
      </c>
      <c r="E111" s="175">
        <v>4.2900000000000001E-2</v>
      </c>
    </row>
    <row r="112" spans="2:5" x14ac:dyDescent="0.25">
      <c r="B112" s="192" t="s">
        <v>111</v>
      </c>
      <c r="C112" s="175">
        <v>-9.5100000000000004E-2</v>
      </c>
      <c r="D112" s="175">
        <v>-0.20130000000000001</v>
      </c>
      <c r="E112" s="175">
        <v>3.61E-2</v>
      </c>
    </row>
    <row r="113" spans="2:5" x14ac:dyDescent="0.25">
      <c r="B113" s="192" t="s">
        <v>107</v>
      </c>
      <c r="C113" s="175">
        <v>-0.2762</v>
      </c>
      <c r="D113" s="175">
        <v>-0.32040000000000002</v>
      </c>
      <c r="E113" s="175">
        <v>6.83E-2</v>
      </c>
    </row>
    <row r="114" spans="2:5" x14ac:dyDescent="0.25">
      <c r="B114" s="192" t="s">
        <v>108</v>
      </c>
      <c r="C114" s="175">
        <v>4.99E-2</v>
      </c>
      <c r="D114" s="175">
        <v>6.54E-2</v>
      </c>
      <c r="E114" s="175">
        <v>6.6500000000000004E-2</v>
      </c>
    </row>
    <row r="115" spans="2:5" x14ac:dyDescent="0.25">
      <c r="B115" s="192" t="s">
        <v>100</v>
      </c>
      <c r="C115" s="175">
        <v>-0.1996</v>
      </c>
      <c r="D115" s="175">
        <v>-0.32919999999999999</v>
      </c>
      <c r="E115" s="175">
        <v>-1.46E-2</v>
      </c>
    </row>
    <row r="116" spans="2:5" x14ac:dyDescent="0.25">
      <c r="B116" s="65" t="s">
        <v>109</v>
      </c>
      <c r="C116" s="175">
        <v>1.6028</v>
      </c>
      <c r="D116" s="175">
        <v>1.9259999999999999</v>
      </c>
      <c r="E116" s="175">
        <v>0.69620000000000004</v>
      </c>
    </row>
    <row r="117" spans="2:5" x14ac:dyDescent="0.25">
      <c r="B117" s="65" t="s">
        <v>110</v>
      </c>
      <c r="C117" s="175">
        <v>0.2424</v>
      </c>
      <c r="D117" s="175">
        <v>0.18240000000000001</v>
      </c>
      <c r="E117" s="175">
        <v>0.15559999999999999</v>
      </c>
    </row>
    <row r="118" spans="2:5" x14ac:dyDescent="0.25">
      <c r="B118" s="65" t="s">
        <v>101</v>
      </c>
      <c r="C118" s="175">
        <v>1.3472999999999999</v>
      </c>
      <c r="D118" s="175">
        <v>1.1053999999999999</v>
      </c>
      <c r="E118" s="175">
        <v>1.5777000000000001</v>
      </c>
    </row>
    <row r="119" spans="2:5" x14ac:dyDescent="0.25">
      <c r="B119" s="79" t="s">
        <v>95</v>
      </c>
      <c r="C119" s="179">
        <v>592111</v>
      </c>
      <c r="D119" s="191">
        <v>754605</v>
      </c>
      <c r="E119" s="179">
        <v>1048717</v>
      </c>
    </row>
    <row r="120" spans="2:5" x14ac:dyDescent="0.25">
      <c r="B120" s="79"/>
      <c r="C120" s="179"/>
      <c r="D120" s="191"/>
      <c r="E120" s="179"/>
    </row>
    <row r="121" spans="2:5" x14ac:dyDescent="0.25">
      <c r="B121" s="190" t="s">
        <v>106</v>
      </c>
      <c r="C121" s="175"/>
      <c r="D121" s="175"/>
      <c r="E121" s="175"/>
    </row>
    <row r="122" spans="2:5" x14ac:dyDescent="0.25">
      <c r="B122" s="61" t="s">
        <v>92</v>
      </c>
      <c r="C122" s="176">
        <v>2016</v>
      </c>
      <c r="D122" s="176">
        <v>2015</v>
      </c>
      <c r="E122" s="176">
        <v>2014</v>
      </c>
    </row>
    <row r="123" spans="2:5" x14ac:dyDescent="0.25">
      <c r="B123" s="192" t="s">
        <v>112</v>
      </c>
      <c r="C123" s="187">
        <v>0.1825</v>
      </c>
      <c r="D123" s="187">
        <v>0.2253</v>
      </c>
      <c r="E123" s="187">
        <v>0.1583</v>
      </c>
    </row>
    <row r="124" spans="2:5" x14ac:dyDescent="0.25">
      <c r="B124" s="192" t="s">
        <v>99</v>
      </c>
      <c r="C124" s="187">
        <v>0.12</v>
      </c>
      <c r="D124" s="187">
        <v>5.1799999999999999E-2</v>
      </c>
      <c r="E124" s="187">
        <v>4.1500000000000002E-2</v>
      </c>
    </row>
    <row r="125" spans="2:5" x14ac:dyDescent="0.25">
      <c r="B125" s="192" t="s">
        <v>113</v>
      </c>
      <c r="C125" s="187">
        <v>0.12970000000000001</v>
      </c>
      <c r="D125" s="187">
        <v>5.6800000000000003E-2</v>
      </c>
      <c r="E125" s="187">
        <v>4.5100000000000001E-2</v>
      </c>
    </row>
    <row r="126" spans="2:5" x14ac:dyDescent="0.25">
      <c r="B126" s="192" t="s">
        <v>103</v>
      </c>
      <c r="C126" s="187">
        <v>9.7900000000000001E-2</v>
      </c>
      <c r="D126" s="187">
        <v>2.4400000000000002E-2</v>
      </c>
      <c r="E126" s="187">
        <v>1.7100000000000001E-2</v>
      </c>
    </row>
    <row r="127" spans="2:5" x14ac:dyDescent="0.25">
      <c r="B127" s="192" t="s">
        <v>11</v>
      </c>
      <c r="C127" s="187">
        <v>0.17910000000000001</v>
      </c>
      <c r="D127" s="187">
        <v>6.93E-2</v>
      </c>
      <c r="E127" s="187">
        <v>5.91E-2</v>
      </c>
    </row>
    <row r="128" spans="2:5" x14ac:dyDescent="0.25">
      <c r="B128" s="192" t="s">
        <v>97</v>
      </c>
      <c r="C128" s="187">
        <v>4.9399999999999999E-2</v>
      </c>
      <c r="D128" s="187">
        <v>4.4499999999999998E-2</v>
      </c>
      <c r="E128" s="187">
        <v>3.9300000000000002E-2</v>
      </c>
    </row>
    <row r="129" spans="2:5" x14ac:dyDescent="0.25">
      <c r="B129" s="192" t="s">
        <v>111</v>
      </c>
      <c r="C129" s="187">
        <v>-8.09E-2</v>
      </c>
      <c r="D129" s="187">
        <v>2.5000000000000001E-3</v>
      </c>
      <c r="E129" s="187">
        <v>6.8999999999999999E-3</v>
      </c>
    </row>
    <row r="130" spans="2:5" x14ac:dyDescent="0.25">
      <c r="B130" s="192" t="s">
        <v>107</v>
      </c>
      <c r="C130" s="187">
        <v>-0.49049999999999999</v>
      </c>
      <c r="D130" s="187">
        <v>9.1999999999999998E-3</v>
      </c>
      <c r="E130" s="187">
        <v>3.4700000000000002E-2</v>
      </c>
    </row>
    <row r="131" spans="2:5" x14ac:dyDescent="0.25">
      <c r="B131" s="192" t="s">
        <v>108</v>
      </c>
      <c r="C131" s="187">
        <v>5.16E-2</v>
      </c>
      <c r="D131" s="187">
        <v>5.6800000000000003E-2</v>
      </c>
      <c r="E131" s="187">
        <v>4.8800000000000003E-2</v>
      </c>
    </row>
    <row r="132" spans="2:5" x14ac:dyDescent="0.25">
      <c r="B132" s="192" t="s">
        <v>100</v>
      </c>
      <c r="C132" s="187">
        <v>-0.27839999999999998</v>
      </c>
      <c r="D132" s="187">
        <v>-2.4500000000000001E-2</v>
      </c>
      <c r="E132" s="187">
        <v>-2.9000000000000001E-2</v>
      </c>
    </row>
    <row r="133" spans="2:5" x14ac:dyDescent="0.25">
      <c r="B133" s="65" t="s">
        <v>109</v>
      </c>
      <c r="C133" s="187">
        <v>1.2277</v>
      </c>
      <c r="D133" s="187">
        <v>0.98780000000000001</v>
      </c>
      <c r="E133" s="187">
        <v>0.96940000000000004</v>
      </c>
    </row>
    <row r="134" spans="2:5" x14ac:dyDescent="0.25">
      <c r="B134" s="65" t="s">
        <v>110</v>
      </c>
      <c r="C134" s="187">
        <v>0.1958</v>
      </c>
      <c r="D134" s="187">
        <v>0.22589999999999999</v>
      </c>
      <c r="E134" s="187">
        <v>0.29849999999999999</v>
      </c>
    </row>
    <row r="135" spans="2:5" x14ac:dyDescent="0.25">
      <c r="B135" s="65" t="s">
        <v>101</v>
      </c>
      <c r="C135" s="187">
        <v>0.98729999999999996</v>
      </c>
      <c r="D135" s="187">
        <v>1.0475000000000001</v>
      </c>
      <c r="E135" s="187">
        <v>0.93689999999999996</v>
      </c>
    </row>
    <row r="136" spans="2:5" x14ac:dyDescent="0.25">
      <c r="B136" s="79" t="s">
        <v>95</v>
      </c>
      <c r="C136" s="179">
        <v>876401</v>
      </c>
      <c r="D136" s="179">
        <v>1043203</v>
      </c>
      <c r="E136" s="179">
        <v>631271</v>
      </c>
    </row>
    <row r="137" spans="2:5" x14ac:dyDescent="0.25">
      <c r="B137" s="79"/>
      <c r="C137" s="179"/>
      <c r="D137" s="187"/>
      <c r="E137" s="187"/>
    </row>
    <row r="138" spans="2:5" x14ac:dyDescent="0.25">
      <c r="B138" s="193" t="s">
        <v>114</v>
      </c>
      <c r="C138" s="175"/>
      <c r="D138" s="175"/>
      <c r="E138" s="175"/>
    </row>
    <row r="139" spans="2:5" x14ac:dyDescent="0.25">
      <c r="B139" s="61" t="s">
        <v>92</v>
      </c>
      <c r="C139" s="176">
        <v>2016</v>
      </c>
      <c r="D139" s="176">
        <v>2015</v>
      </c>
      <c r="E139" s="176">
        <v>2014</v>
      </c>
    </row>
    <row r="140" spans="2:5" x14ac:dyDescent="0.25">
      <c r="B140" s="192" t="s">
        <v>112</v>
      </c>
      <c r="C140" s="187">
        <v>0.36780000000000002</v>
      </c>
      <c r="D140" s="187">
        <v>0.4</v>
      </c>
      <c r="E140" s="187">
        <v>0.29599999999999999</v>
      </c>
    </row>
    <row r="141" spans="2:5" x14ac:dyDescent="0.25">
      <c r="B141" s="192" t="s">
        <v>99</v>
      </c>
      <c r="C141" s="187">
        <v>7.9000000000000008E-3</v>
      </c>
      <c r="D141" s="187">
        <v>3.2000000000000002E-3</v>
      </c>
      <c r="E141" s="187">
        <v>1E-3</v>
      </c>
    </row>
    <row r="142" spans="2:5" x14ac:dyDescent="0.25">
      <c r="B142" s="192" t="s">
        <v>113</v>
      </c>
      <c r="C142" s="187">
        <v>7.9000000000000008E-3</v>
      </c>
      <c r="D142" s="187">
        <v>3.2000000000000002E-3</v>
      </c>
      <c r="E142" s="187">
        <v>1E-3</v>
      </c>
    </row>
    <row r="143" spans="2:5" x14ac:dyDescent="0.25">
      <c r="B143" s="192" t="s">
        <v>103</v>
      </c>
      <c r="C143" s="187">
        <v>1.49E-2</v>
      </c>
      <c r="D143" s="187">
        <v>1.24E-2</v>
      </c>
      <c r="E143" s="187">
        <v>7.0000000000000001E-3</v>
      </c>
    </row>
    <row r="144" spans="2:5" x14ac:dyDescent="0.25">
      <c r="B144" s="192" t="s">
        <v>11</v>
      </c>
      <c r="C144" s="187">
        <v>5.0000000000000001E-3</v>
      </c>
      <c r="D144" s="187">
        <v>7.0000000000000001E-3</v>
      </c>
      <c r="E144" s="187">
        <v>1E-3</v>
      </c>
    </row>
    <row r="145" spans="2:5" x14ac:dyDescent="0.25">
      <c r="B145" s="192" t="s">
        <v>97</v>
      </c>
      <c r="C145" s="187">
        <v>2.0999999999999999E-3</v>
      </c>
      <c r="D145" s="187">
        <v>5.1999999999999998E-3</v>
      </c>
      <c r="E145" s="187">
        <v>1E-3</v>
      </c>
    </row>
    <row r="146" spans="2:5" x14ac:dyDescent="0.25">
      <c r="B146" s="192" t="s">
        <v>111</v>
      </c>
      <c r="C146" s="187">
        <v>1.1299999999999999E-2</v>
      </c>
      <c r="D146" s="187">
        <v>9.5999999999999992E-3</v>
      </c>
      <c r="E146" s="187">
        <v>8.0000000000000002E-3</v>
      </c>
    </row>
    <row r="147" spans="2:5" x14ac:dyDescent="0.25">
      <c r="B147" s="192" t="s">
        <v>107</v>
      </c>
      <c r="C147" s="187">
        <v>3.4500000000000003E-2</v>
      </c>
      <c r="D147" s="187">
        <v>3.0599999999999999E-2</v>
      </c>
      <c r="E147" s="187">
        <v>2.9000000000000001E-2</v>
      </c>
    </row>
    <row r="148" spans="2:5" x14ac:dyDescent="0.25">
      <c r="B148" s="192" t="s">
        <v>108</v>
      </c>
      <c r="C148" s="187">
        <v>4.8300000000000003E-2</v>
      </c>
      <c r="D148" s="187">
        <v>4.8500000000000001E-2</v>
      </c>
      <c r="E148" s="187">
        <v>0.04</v>
      </c>
    </row>
    <row r="149" spans="2:5" x14ac:dyDescent="0.25">
      <c r="B149" s="192" t="s">
        <v>100</v>
      </c>
      <c r="C149" s="187">
        <v>1.15E-2</v>
      </c>
      <c r="D149" s="187">
        <v>9.7999999999999997E-3</v>
      </c>
      <c r="E149" s="187">
        <v>8.0000000000000002E-3</v>
      </c>
    </row>
    <row r="150" spans="2:5" x14ac:dyDescent="0.25">
      <c r="B150" s="65" t="s">
        <v>109</v>
      </c>
      <c r="C150" s="187">
        <v>0.92179999999999995</v>
      </c>
      <c r="D150" s="187">
        <v>0.92479999999999996</v>
      </c>
      <c r="E150" s="187">
        <v>0.88100000000000001</v>
      </c>
    </row>
    <row r="151" spans="2:5" x14ac:dyDescent="0.25">
      <c r="B151" s="65" t="s">
        <v>110</v>
      </c>
      <c r="C151" s="187">
        <v>0.47549999999999998</v>
      </c>
      <c r="D151" s="187">
        <v>0.4531</v>
      </c>
      <c r="E151" s="187">
        <v>0.47199999999999998</v>
      </c>
    </row>
    <row r="152" spans="2:5" x14ac:dyDescent="0.25">
      <c r="B152" s="65" t="s">
        <v>101</v>
      </c>
      <c r="C152" s="187">
        <v>0.9012</v>
      </c>
      <c r="D152" s="187">
        <v>0.91410000000000002</v>
      </c>
      <c r="E152" s="187">
        <v>0.91200000000000003</v>
      </c>
    </row>
    <row r="153" spans="2:5" x14ac:dyDescent="0.25">
      <c r="B153" s="79" t="s">
        <v>95</v>
      </c>
      <c r="C153" s="179">
        <v>1127355</v>
      </c>
      <c r="D153" s="179">
        <v>1073508</v>
      </c>
      <c r="E153" s="179">
        <v>637854</v>
      </c>
    </row>
    <row r="154" spans="2:5" x14ac:dyDescent="0.25">
      <c r="B154" s="79"/>
      <c r="C154" s="179"/>
      <c r="D154" s="179"/>
      <c r="E154" s="179"/>
    </row>
    <row r="155" spans="2:5" x14ac:dyDescent="0.25">
      <c r="B155" s="194" t="s">
        <v>115</v>
      </c>
      <c r="C155" s="175"/>
      <c r="D155" s="175"/>
      <c r="E155" s="175"/>
    </row>
    <row r="156" spans="2:5" x14ac:dyDescent="0.25">
      <c r="B156" s="61" t="s">
        <v>92</v>
      </c>
      <c r="C156" s="176">
        <v>2016</v>
      </c>
      <c r="D156" s="176">
        <v>2015</v>
      </c>
      <c r="E156" s="176">
        <v>2014</v>
      </c>
    </row>
    <row r="157" spans="2:5" x14ac:dyDescent="0.25">
      <c r="B157" s="192" t="s">
        <v>112</v>
      </c>
      <c r="C157" s="187">
        <v>0.23799999999999999</v>
      </c>
      <c r="D157" s="187">
        <v>0.1993</v>
      </c>
      <c r="E157" s="187">
        <v>0.32779999999999998</v>
      </c>
    </row>
    <row r="158" spans="2:5" x14ac:dyDescent="0.25">
      <c r="B158" s="192" t="s">
        <v>99</v>
      </c>
      <c r="C158" s="187">
        <v>1.2699999999999999E-2</v>
      </c>
      <c r="D158" s="187">
        <v>1.0800000000000001E-2</v>
      </c>
      <c r="E158" s="187">
        <v>1.03E-2</v>
      </c>
    </row>
    <row r="159" spans="2:5" x14ac:dyDescent="0.25">
      <c r="B159" s="192" t="s">
        <v>113</v>
      </c>
      <c r="C159" s="187">
        <v>1.21E-2</v>
      </c>
      <c r="D159" s="187">
        <v>1.01E-2</v>
      </c>
      <c r="E159" s="187">
        <v>1.01E-2</v>
      </c>
    </row>
    <row r="160" spans="2:5" x14ac:dyDescent="0.25">
      <c r="B160" s="192" t="s">
        <v>103</v>
      </c>
      <c r="C160" s="187">
        <v>1.8100000000000002E-2</v>
      </c>
      <c r="D160" s="187">
        <v>1.3599999999999999E-2</v>
      </c>
      <c r="E160" s="187">
        <v>1.3100000000000001E-2</v>
      </c>
    </row>
    <row r="161" spans="2:5" x14ac:dyDescent="0.25">
      <c r="B161" s="192" t="s">
        <v>11</v>
      </c>
      <c r="C161" s="187">
        <v>1.5299999999999999E-2</v>
      </c>
      <c r="D161" s="187">
        <v>1.2500000000000001E-2</v>
      </c>
      <c r="E161" s="187">
        <v>1.29E-2</v>
      </c>
    </row>
    <row r="162" spans="2:5" x14ac:dyDescent="0.25">
      <c r="B162" s="192" t="s">
        <v>97</v>
      </c>
      <c r="C162" s="187">
        <v>2E-3</v>
      </c>
      <c r="D162" s="187">
        <v>1.6999999999999999E-3</v>
      </c>
      <c r="E162" s="187">
        <v>8.6999999999999994E-3</v>
      </c>
    </row>
    <row r="163" spans="2:5" x14ac:dyDescent="0.25">
      <c r="B163" s="192" t="s">
        <v>111</v>
      </c>
      <c r="C163" s="187">
        <v>8.9800000000000005E-2</v>
      </c>
      <c r="D163" s="187">
        <v>5.2400000000000002E-2</v>
      </c>
      <c r="E163" s="187">
        <v>4.2299999999999997E-2</v>
      </c>
    </row>
    <row r="164" spans="2:5" x14ac:dyDescent="0.25">
      <c r="B164" s="192" t="s">
        <v>107</v>
      </c>
      <c r="C164" s="187">
        <v>0.31709999999999999</v>
      </c>
      <c r="D164" s="187">
        <v>0.1789</v>
      </c>
      <c r="E164" s="187">
        <v>0.13750000000000001</v>
      </c>
    </row>
    <row r="165" spans="2:5" x14ac:dyDescent="0.25">
      <c r="B165" s="192" t="s">
        <v>108</v>
      </c>
      <c r="C165" s="187">
        <v>0.35780000000000001</v>
      </c>
      <c r="D165" s="187">
        <v>0.34310000000000002</v>
      </c>
      <c r="E165" s="187">
        <v>0.33289999999999997</v>
      </c>
    </row>
    <row r="166" spans="2:5" x14ac:dyDescent="0.25">
      <c r="B166" s="192" t="s">
        <v>100</v>
      </c>
      <c r="C166" s="187">
        <v>0.10199999999999999</v>
      </c>
      <c r="D166" s="187">
        <v>5.7700000000000001E-2</v>
      </c>
      <c r="E166" s="187">
        <v>5.1499999999999997E-2</v>
      </c>
    </row>
    <row r="167" spans="2:5" x14ac:dyDescent="0.25">
      <c r="B167" s="65" t="s">
        <v>109</v>
      </c>
      <c r="C167" s="187">
        <v>0.75139999999999996</v>
      </c>
      <c r="D167" s="187">
        <v>0.85319999999999996</v>
      </c>
      <c r="E167" s="187">
        <v>0.87780000000000002</v>
      </c>
    </row>
    <row r="168" spans="2:5" x14ac:dyDescent="0.25">
      <c r="B168" s="65" t="s">
        <v>110</v>
      </c>
      <c r="C168" s="187">
        <v>0</v>
      </c>
      <c r="D168" s="187">
        <v>0</v>
      </c>
      <c r="E168" s="187">
        <v>0</v>
      </c>
    </row>
    <row r="169" spans="2:5" x14ac:dyDescent="0.25">
      <c r="B169" s="65" t="s">
        <v>101</v>
      </c>
      <c r="C169" s="187">
        <v>0.92749999999999999</v>
      </c>
      <c r="D169" s="187">
        <v>0.96540000000000004</v>
      </c>
      <c r="E169" s="187">
        <v>0.93969999999999998</v>
      </c>
    </row>
    <row r="170" spans="2:5" x14ac:dyDescent="0.25">
      <c r="B170" s="79" t="s">
        <v>95</v>
      </c>
      <c r="C170" s="179">
        <v>1521148</v>
      </c>
      <c r="D170" s="179">
        <v>1064003</v>
      </c>
      <c r="E170" s="179">
        <v>824139</v>
      </c>
    </row>
    <row r="171" spans="2:5" x14ac:dyDescent="0.25">
      <c r="B171" s="79"/>
      <c r="C171" s="179"/>
      <c r="D171" s="187"/>
      <c r="E171" s="187"/>
    </row>
    <row r="172" spans="2:5" x14ac:dyDescent="0.25">
      <c r="B172" s="195" t="s">
        <v>116</v>
      </c>
      <c r="C172" s="175"/>
      <c r="D172" s="175"/>
      <c r="E172" s="175"/>
    </row>
    <row r="173" spans="2:5" x14ac:dyDescent="0.25">
      <c r="B173" s="61" t="s">
        <v>92</v>
      </c>
      <c r="C173" s="176">
        <v>2016</v>
      </c>
      <c r="D173" s="176">
        <v>2015</v>
      </c>
      <c r="E173" s="176">
        <v>2014</v>
      </c>
    </row>
    <row r="174" spans="2:5" x14ac:dyDescent="0.25">
      <c r="B174" s="192" t="s">
        <v>112</v>
      </c>
      <c r="C174" s="187">
        <v>0.1817</v>
      </c>
      <c r="D174" s="187">
        <v>0.20300000000000001</v>
      </c>
      <c r="E174" s="187">
        <v>0.25690000000000002</v>
      </c>
    </row>
    <row r="175" spans="2:5" x14ac:dyDescent="0.25">
      <c r="B175" s="192" t="s">
        <v>99</v>
      </c>
      <c r="C175" s="187">
        <v>1.7600000000000001E-2</v>
      </c>
      <c r="D175" s="187">
        <v>2.2100000000000002E-2</v>
      </c>
      <c r="E175" s="187">
        <v>6.3E-3</v>
      </c>
    </row>
    <row r="176" spans="2:5" x14ac:dyDescent="0.25">
      <c r="B176" s="192" t="s">
        <v>113</v>
      </c>
      <c r="C176" s="187">
        <v>1.7600000000000001E-2</v>
      </c>
      <c r="D176" s="187">
        <v>2.2100000000000002E-2</v>
      </c>
      <c r="E176" s="187">
        <v>6.3E-3</v>
      </c>
    </row>
    <row r="177" spans="2:5" x14ac:dyDescent="0.25">
      <c r="B177" s="192" t="s">
        <v>103</v>
      </c>
      <c r="C177" s="187">
        <v>1.0200000000000001E-2</v>
      </c>
      <c r="D177" s="187">
        <v>8.0999999999999996E-3</v>
      </c>
      <c r="E177" s="187">
        <v>9.2999999999999992E-3</v>
      </c>
    </row>
    <row r="178" spans="2:5" x14ac:dyDescent="0.25">
      <c r="B178" s="192" t="s">
        <v>11</v>
      </c>
      <c r="C178" s="187">
        <v>2.2599999999999999E-2</v>
      </c>
      <c r="D178" s="187">
        <v>2.63E-2</v>
      </c>
      <c r="E178" s="187">
        <v>5.3E-3</v>
      </c>
    </row>
    <row r="179" spans="2:5" x14ac:dyDescent="0.25">
      <c r="B179" s="192" t="s">
        <v>97</v>
      </c>
      <c r="C179" s="187">
        <v>1.8599999999999998E-2</v>
      </c>
      <c r="D179" s="187">
        <v>1.9400000000000001E-2</v>
      </c>
      <c r="E179" s="187">
        <v>2.8999999999999998E-3</v>
      </c>
    </row>
    <row r="180" spans="2:5" x14ac:dyDescent="0.25">
      <c r="B180" s="192" t="s">
        <v>111</v>
      </c>
      <c r="C180" s="187">
        <v>3.7000000000000002E-3</v>
      </c>
      <c r="D180" s="187">
        <v>1.12E-2</v>
      </c>
      <c r="E180" s="187">
        <v>1.9900000000000001E-2</v>
      </c>
    </row>
    <row r="181" spans="2:5" x14ac:dyDescent="0.25">
      <c r="B181" s="192" t="s">
        <v>107</v>
      </c>
      <c r="C181" s="187">
        <v>1.7600000000000001E-2</v>
      </c>
      <c r="D181" s="187">
        <v>4.9399999999999999E-2</v>
      </c>
      <c r="E181" s="187">
        <v>7.0099999999999996E-2</v>
      </c>
    </row>
    <row r="182" spans="2:5" x14ac:dyDescent="0.25">
      <c r="B182" s="192" t="s">
        <v>108</v>
      </c>
      <c r="C182" s="187">
        <v>3.49E-2</v>
      </c>
      <c r="D182" s="187">
        <v>3.8199999999999998E-2</v>
      </c>
      <c r="E182" s="187">
        <v>4.3799999999999999E-2</v>
      </c>
    </row>
    <row r="183" spans="2:5" x14ac:dyDescent="0.25">
      <c r="B183" s="192" t="s">
        <v>100</v>
      </c>
      <c r="C183" s="187">
        <v>5.0000000000000001E-4</v>
      </c>
      <c r="D183" s="187">
        <v>8.6E-3</v>
      </c>
      <c r="E183" s="187">
        <v>1.3599999999999999E-2</v>
      </c>
    </row>
    <row r="184" spans="2:5" x14ac:dyDescent="0.25">
      <c r="B184" s="65" t="s">
        <v>109</v>
      </c>
      <c r="C184" s="187">
        <v>0.9617</v>
      </c>
      <c r="D184" s="187">
        <v>0.89329999999999998</v>
      </c>
      <c r="E184" s="187">
        <v>0.82579999999999998</v>
      </c>
    </row>
    <row r="185" spans="2:5" x14ac:dyDescent="0.25">
      <c r="B185" s="65" t="s">
        <v>110</v>
      </c>
      <c r="C185" s="187">
        <v>0.83850000000000002</v>
      </c>
      <c r="D185" s="187">
        <v>0.90559999999999996</v>
      </c>
      <c r="E185" s="187">
        <v>0.86670000000000003</v>
      </c>
    </row>
    <row r="186" spans="2:5" x14ac:dyDescent="0.25">
      <c r="B186" s="65" t="s">
        <v>101</v>
      </c>
      <c r="C186" s="187">
        <v>0.91990000000000005</v>
      </c>
      <c r="D186" s="187">
        <v>0.96430000000000005</v>
      </c>
      <c r="E186" s="187">
        <v>0.94040000000000001</v>
      </c>
    </row>
    <row r="187" spans="2:5" x14ac:dyDescent="0.25">
      <c r="B187" s="79" t="s">
        <v>95</v>
      </c>
      <c r="C187" s="179">
        <v>1187941</v>
      </c>
      <c r="D187" s="179">
        <v>1155491</v>
      </c>
      <c r="E187" s="179">
        <v>1076315</v>
      </c>
    </row>
    <row r="188" spans="2:5" x14ac:dyDescent="0.25">
      <c r="E188" s="179"/>
    </row>
    <row r="189" spans="2:5" x14ac:dyDescent="0.25">
      <c r="B189" s="196" t="s">
        <v>117</v>
      </c>
      <c r="C189" s="175"/>
      <c r="D189" s="175"/>
      <c r="E189" s="175"/>
    </row>
    <row r="190" spans="2:5" x14ac:dyDescent="0.25">
      <c r="B190" s="61" t="s">
        <v>92</v>
      </c>
      <c r="C190" s="176">
        <v>2016</v>
      </c>
      <c r="D190" s="176">
        <v>2015</v>
      </c>
      <c r="E190" s="176">
        <v>2014</v>
      </c>
    </row>
    <row r="191" spans="2:5" x14ac:dyDescent="0.25">
      <c r="B191" s="192" t="s">
        <v>112</v>
      </c>
      <c r="C191" s="187">
        <v>0.1598</v>
      </c>
      <c r="D191" s="187">
        <v>0.16139999999999999</v>
      </c>
      <c r="E191" s="187">
        <v>0.1527</v>
      </c>
    </row>
    <row r="192" spans="2:5" x14ac:dyDescent="0.25">
      <c r="B192" s="192" t="s">
        <v>99</v>
      </c>
      <c r="C192" s="187">
        <v>6.2399999999999997E-2</v>
      </c>
      <c r="D192" s="187">
        <v>6.5699999999999995E-2</v>
      </c>
      <c r="E192" s="187">
        <v>6.7000000000000004E-2</v>
      </c>
    </row>
    <row r="193" spans="2:15" x14ac:dyDescent="0.25">
      <c r="B193" s="192" t="s">
        <v>113</v>
      </c>
      <c r="C193" s="187">
        <v>5.67E-2</v>
      </c>
      <c r="D193" s="187">
        <v>5.62E-2</v>
      </c>
      <c r="E193" s="187">
        <v>5.9200000000000003E-2</v>
      </c>
    </row>
    <row r="194" spans="2:15" x14ac:dyDescent="0.25">
      <c r="B194" s="192" t="s">
        <v>103</v>
      </c>
      <c r="C194" s="187">
        <v>2.75E-2</v>
      </c>
      <c r="D194" s="187">
        <v>4.58E-2</v>
      </c>
      <c r="E194" s="187">
        <v>2.7099999999999999E-2</v>
      </c>
    </row>
    <row r="195" spans="2:15" x14ac:dyDescent="0.25">
      <c r="B195" s="192" t="s">
        <v>11</v>
      </c>
      <c r="C195" s="187">
        <v>7.2099999999999997E-2</v>
      </c>
      <c r="D195" s="187">
        <v>9.8000000000000004E-2</v>
      </c>
      <c r="E195" s="187">
        <v>7.0999999999999994E-2</v>
      </c>
    </row>
    <row r="196" spans="2:15" x14ac:dyDescent="0.25">
      <c r="B196" s="192" t="s">
        <v>97</v>
      </c>
      <c r="C196" s="187">
        <v>4.3499999999999997E-2</v>
      </c>
      <c r="D196" s="187">
        <v>4.82E-2</v>
      </c>
      <c r="E196" s="187">
        <v>4.7500000000000001E-2</v>
      </c>
    </row>
    <row r="197" spans="2:15" x14ac:dyDescent="0.25">
      <c r="B197" s="192" t="s">
        <v>111</v>
      </c>
      <c r="C197" s="187">
        <v>-2.1899999999999999E-2</v>
      </c>
      <c r="D197" s="187">
        <v>-2.3599999999999999E-2</v>
      </c>
      <c r="E197" s="187">
        <v>-1.8700000000000001E-2</v>
      </c>
    </row>
    <row r="198" spans="2:15" x14ac:dyDescent="0.25">
      <c r="B198" s="192" t="s">
        <v>107</v>
      </c>
      <c r="C198" s="187">
        <v>-0.17449999999999999</v>
      </c>
      <c r="D198" s="187">
        <v>-0.15060000000000001</v>
      </c>
      <c r="E198" s="187">
        <v>-0.17610000000000001</v>
      </c>
    </row>
    <row r="199" spans="2:15" x14ac:dyDescent="0.25">
      <c r="B199" s="192" t="s">
        <v>108</v>
      </c>
      <c r="C199" s="187">
        <v>2.63E-2</v>
      </c>
      <c r="D199" s="187">
        <v>2.8000000000000001E-2</v>
      </c>
      <c r="E199" s="187">
        <v>3.3399999999999999E-2</v>
      </c>
    </row>
    <row r="200" spans="2:15" x14ac:dyDescent="0.25">
      <c r="B200" s="192" t="s">
        <v>100</v>
      </c>
      <c r="C200" s="187">
        <v>-3.1699999999999999E-2</v>
      </c>
      <c r="D200" s="187">
        <v>-4.6300000000000001E-2</v>
      </c>
      <c r="E200" s="187">
        <v>-0.02</v>
      </c>
    </row>
    <row r="201" spans="2:15" x14ac:dyDescent="0.25">
      <c r="B201" s="65" t="s">
        <v>109</v>
      </c>
      <c r="C201" s="187">
        <v>1.3133999999999999</v>
      </c>
      <c r="D201" s="187">
        <v>1.1919</v>
      </c>
      <c r="E201" s="187">
        <v>1.4331</v>
      </c>
    </row>
    <row r="202" spans="2:15" x14ac:dyDescent="0.25">
      <c r="B202" s="65" t="s">
        <v>110</v>
      </c>
      <c r="C202" s="187">
        <v>0.78310000000000002</v>
      </c>
      <c r="D202" s="187">
        <v>0.66239999999999999</v>
      </c>
      <c r="E202" s="187">
        <v>0.56130000000000002</v>
      </c>
    </row>
    <row r="203" spans="2:15" x14ac:dyDescent="0.25">
      <c r="B203" s="65" t="s">
        <v>101</v>
      </c>
      <c r="C203" s="187">
        <v>1.0066999999999999</v>
      </c>
      <c r="D203" s="187">
        <v>0.95289999999999997</v>
      </c>
      <c r="E203" s="187">
        <v>0.95189999999999997</v>
      </c>
    </row>
    <row r="204" spans="2:15" x14ac:dyDescent="0.25">
      <c r="B204" s="79" t="s">
        <v>95</v>
      </c>
      <c r="C204" s="179">
        <v>194329</v>
      </c>
      <c r="D204" s="179">
        <v>162652</v>
      </c>
      <c r="E204" s="179">
        <v>186368</v>
      </c>
    </row>
    <row r="205" spans="2:15" x14ac:dyDescent="0.25">
      <c r="B205" s="79"/>
      <c r="C205" s="179"/>
      <c r="D205" s="179"/>
      <c r="E205" s="179"/>
    </row>
    <row r="206" spans="2:15" x14ac:dyDescent="0.25">
      <c r="B206" s="79"/>
      <c r="C206" s="179"/>
      <c r="D206" s="200">
        <v>2016</v>
      </c>
      <c r="E206" s="200">
        <v>2016</v>
      </c>
      <c r="F206" s="200">
        <v>2016</v>
      </c>
      <c r="G206" s="200">
        <v>2016</v>
      </c>
      <c r="H206" s="200">
        <v>2016</v>
      </c>
      <c r="I206" s="200">
        <v>2016</v>
      </c>
      <c r="J206" s="200">
        <v>2016</v>
      </c>
      <c r="K206" s="200">
        <v>2016</v>
      </c>
      <c r="L206" s="200">
        <v>2016</v>
      </c>
      <c r="M206" s="200">
        <v>2016</v>
      </c>
      <c r="N206" s="200">
        <v>2016</v>
      </c>
      <c r="O206" s="200">
        <v>2016</v>
      </c>
    </row>
    <row r="207" spans="2:15" x14ac:dyDescent="0.25">
      <c r="B207" s="144" t="s">
        <v>118</v>
      </c>
      <c r="C207" s="202" t="s">
        <v>119</v>
      </c>
      <c r="D207" s="180" t="s">
        <v>0</v>
      </c>
      <c r="E207" s="184" t="s">
        <v>93</v>
      </c>
      <c r="F207" s="185" t="s">
        <v>96</v>
      </c>
      <c r="G207" s="186" t="s">
        <v>98</v>
      </c>
      <c r="H207" s="188" t="s">
        <v>102</v>
      </c>
      <c r="I207" s="189" t="s">
        <v>104</v>
      </c>
      <c r="J207" s="189" t="s">
        <v>105</v>
      </c>
      <c r="K207" s="190" t="s">
        <v>106</v>
      </c>
      <c r="L207" s="193" t="s">
        <v>114</v>
      </c>
      <c r="M207" s="194" t="s">
        <v>115</v>
      </c>
      <c r="N207" s="195" t="s">
        <v>116</v>
      </c>
      <c r="O207" s="196" t="s">
        <v>117</v>
      </c>
    </row>
    <row r="208" spans="2:15" x14ac:dyDescent="0.25">
      <c r="B208" t="s">
        <v>7</v>
      </c>
      <c r="C208" s="192" t="s">
        <v>112</v>
      </c>
      <c r="D208" s="187">
        <f t="shared" ref="D208:D216" si="0">VLOOKUP(C208,$B$4:$E$17,2,0)</f>
        <v>0.12740000000000001</v>
      </c>
      <c r="E208" s="187">
        <f t="shared" ref="E208:E216" si="1">VLOOKUP(C208,$B$21:$E$34,2,0)</f>
        <v>0.1401</v>
      </c>
      <c r="F208" s="187">
        <f t="shared" ref="F208:F216" si="2">VLOOKUP(C208,$B$39:$E$52,2,0)</f>
        <v>0.1492</v>
      </c>
      <c r="G208" s="201">
        <f t="shared" ref="G208:G216" si="3">VLOOKUP(C208,$B$56:$E$68,2,0)</f>
        <v>0.20630000000000001</v>
      </c>
      <c r="H208" s="187">
        <f t="shared" ref="H208:H216" si="4">VLOOKUP(C208,$B$72:$E$85,2,0)</f>
        <v>0.17</v>
      </c>
      <c r="I208" s="187">
        <f t="shared" ref="I208:I216" si="5">VLOOKUP(C208,$B$89:$E$102,2,0)</f>
        <v>0.23530000000000001</v>
      </c>
      <c r="J208" s="187">
        <f t="shared" ref="J208:J216" si="6">VLOOKUP(C208,$B$106:$E$119,2,0)</f>
        <v>0.55059999999999998</v>
      </c>
      <c r="K208" s="187">
        <f t="shared" ref="K208:K216" si="7">VLOOKUP(C208,$B$123:$E$136,2,0)</f>
        <v>0.1825</v>
      </c>
      <c r="L208" s="187">
        <f t="shared" ref="L208:L216" si="8">VLOOKUP(C208,$B$140:$E$153,2,0)</f>
        <v>0.36780000000000002</v>
      </c>
      <c r="M208" s="187">
        <f t="shared" ref="M208:M216" si="9">VLOOKUP(C208,$B$157:$E$170,2,0)</f>
        <v>0.23799999999999999</v>
      </c>
      <c r="N208" s="187">
        <f t="shared" ref="N208:N216" si="10">VLOOKUP(C208,$B$174:$E$187,2,0)</f>
        <v>0.1817</v>
      </c>
      <c r="O208" s="187">
        <f t="shared" ref="O208:O216" si="11">VLOOKUP(C208,$B$191:$E$204,2,0)</f>
        <v>0.1598</v>
      </c>
    </row>
    <row r="209" spans="2:15" x14ac:dyDescent="0.25">
      <c r="B209" t="s">
        <v>8</v>
      </c>
      <c r="C209" s="192" t="s">
        <v>113</v>
      </c>
      <c r="D209" s="187">
        <f t="shared" si="0"/>
        <v>0</v>
      </c>
      <c r="E209" s="187">
        <f t="shared" si="1"/>
        <v>4.0300000000000002E-2</v>
      </c>
      <c r="F209" s="187">
        <f t="shared" si="2"/>
        <v>2.4400000000000002E-2</v>
      </c>
      <c r="G209" s="201">
        <f t="shared" si="3"/>
        <v>3.0300000000000001E-2</v>
      </c>
      <c r="H209" s="187">
        <f t="shared" si="4"/>
        <v>2.3900000000000001E-2</v>
      </c>
      <c r="I209" s="187">
        <f t="shared" si="5"/>
        <v>2.9899999999999999E-2</v>
      </c>
      <c r="J209" s="187">
        <f t="shared" si="6"/>
        <v>0.31509999999999999</v>
      </c>
      <c r="K209" s="187">
        <f t="shared" si="7"/>
        <v>0.12970000000000001</v>
      </c>
      <c r="L209" s="187">
        <f t="shared" si="8"/>
        <v>7.9000000000000008E-3</v>
      </c>
      <c r="M209" s="187">
        <f t="shared" si="9"/>
        <v>1.21E-2</v>
      </c>
      <c r="N209" s="187">
        <f t="shared" si="10"/>
        <v>1.7600000000000001E-2</v>
      </c>
      <c r="O209" s="187">
        <f t="shared" si="11"/>
        <v>5.67E-2</v>
      </c>
    </row>
    <row r="210" spans="2:15" x14ac:dyDescent="0.25">
      <c r="B210" t="s">
        <v>9</v>
      </c>
      <c r="C210" s="192" t="s">
        <v>103</v>
      </c>
      <c r="D210" s="187">
        <f t="shared" si="0"/>
        <v>0</v>
      </c>
      <c r="E210" s="187">
        <f t="shared" si="1"/>
        <v>2.76E-2</v>
      </c>
      <c r="F210" s="187">
        <f t="shared" si="2"/>
        <v>2.2800000000000001E-2</v>
      </c>
      <c r="G210" s="201">
        <f t="shared" si="3"/>
        <v>1.8200000000000001E-2</v>
      </c>
      <c r="H210" s="187">
        <f t="shared" si="4"/>
        <v>1.6E-2</v>
      </c>
      <c r="I210" s="187">
        <f t="shared" si="5"/>
        <v>9.2999999999999992E-3</v>
      </c>
      <c r="J210" s="187">
        <f t="shared" si="6"/>
        <v>0.29949999999999999</v>
      </c>
      <c r="K210" s="187">
        <f t="shared" si="7"/>
        <v>9.7900000000000001E-2</v>
      </c>
      <c r="L210" s="187">
        <f t="shared" si="8"/>
        <v>1.49E-2</v>
      </c>
      <c r="M210" s="187">
        <f t="shared" si="9"/>
        <v>1.8100000000000002E-2</v>
      </c>
      <c r="N210" s="187">
        <f t="shared" si="10"/>
        <v>1.0200000000000001E-2</v>
      </c>
      <c r="O210" s="187">
        <f t="shared" si="11"/>
        <v>2.75E-2</v>
      </c>
    </row>
    <row r="211" spans="2:15" x14ac:dyDescent="0.25">
      <c r="B211" t="s">
        <v>11</v>
      </c>
      <c r="C211" s="192" t="s">
        <v>11</v>
      </c>
      <c r="D211" s="187">
        <f t="shared" si="0"/>
        <v>3.8300000000000001E-2</v>
      </c>
      <c r="E211" s="187">
        <f t="shared" si="1"/>
        <v>4.9200000000000001E-2</v>
      </c>
      <c r="F211" s="187">
        <f t="shared" si="2"/>
        <v>2.9399999999999999E-2</v>
      </c>
      <c r="G211" s="201">
        <f t="shared" si="3"/>
        <v>4.5699999999999998E-2</v>
      </c>
      <c r="H211" s="187">
        <f t="shared" si="4"/>
        <v>3.1699999999999999E-2</v>
      </c>
      <c r="I211" s="187">
        <f t="shared" si="5"/>
        <v>3.3000000000000002E-2</v>
      </c>
      <c r="J211" s="187">
        <f t="shared" si="6"/>
        <v>0.43990000000000001</v>
      </c>
      <c r="K211" s="187">
        <f t="shared" si="7"/>
        <v>0.17910000000000001</v>
      </c>
      <c r="L211" s="187">
        <f t="shared" si="8"/>
        <v>5.0000000000000001E-3</v>
      </c>
      <c r="M211" s="187">
        <f t="shared" si="9"/>
        <v>1.5299999999999999E-2</v>
      </c>
      <c r="N211" s="187">
        <f t="shared" si="10"/>
        <v>2.2599999999999999E-2</v>
      </c>
      <c r="O211" s="187">
        <f t="shared" si="11"/>
        <v>7.2099999999999997E-2</v>
      </c>
    </row>
    <row r="212" spans="2:15" x14ac:dyDescent="0.25">
      <c r="B212" t="s">
        <v>12</v>
      </c>
      <c r="C212" s="192" t="s">
        <v>97</v>
      </c>
      <c r="D212" s="187">
        <f t="shared" si="0"/>
        <v>1.4E-2</v>
      </c>
      <c r="E212" s="187">
        <f t="shared" si="1"/>
        <v>3.1300000000000001E-2</v>
      </c>
      <c r="F212" s="187">
        <f t="shared" si="2"/>
        <v>1.6400000000000001E-2</v>
      </c>
      <c r="G212" s="201">
        <f t="shared" si="3"/>
        <v>3.1899999999999998E-2</v>
      </c>
      <c r="H212" s="187">
        <f t="shared" si="4"/>
        <v>2.7199999999999998E-2</v>
      </c>
      <c r="I212" s="187">
        <f t="shared" si="5"/>
        <v>2.81E-2</v>
      </c>
      <c r="J212" s="187">
        <f t="shared" si="6"/>
        <v>4.5999999999999999E-2</v>
      </c>
      <c r="K212" s="187">
        <f t="shared" si="7"/>
        <v>4.9399999999999999E-2</v>
      </c>
      <c r="L212" s="187">
        <f t="shared" si="8"/>
        <v>2.0999999999999999E-3</v>
      </c>
      <c r="M212" s="187">
        <f t="shared" si="9"/>
        <v>2E-3</v>
      </c>
      <c r="N212" s="187">
        <f t="shared" si="10"/>
        <v>1.8599999999999998E-2</v>
      </c>
      <c r="O212" s="187">
        <f t="shared" si="11"/>
        <v>4.3499999999999997E-2</v>
      </c>
    </row>
    <row r="213" spans="2:15" x14ac:dyDescent="0.25">
      <c r="B213" t="s">
        <v>13</v>
      </c>
      <c r="C213" s="192" t="s">
        <v>111</v>
      </c>
      <c r="D213" s="187">
        <f t="shared" si="0"/>
        <v>2.2000000000000001E-3</v>
      </c>
      <c r="E213" s="187">
        <f t="shared" si="1"/>
        <v>5.8999999999999999E-3</v>
      </c>
      <c r="F213" s="187">
        <f t="shared" si="2"/>
        <v>1.44E-2</v>
      </c>
      <c r="G213" s="201">
        <f t="shared" si="3"/>
        <v>9.4999999999999998E-3</v>
      </c>
      <c r="H213" s="187">
        <f t="shared" si="4"/>
        <v>7.6E-3</v>
      </c>
      <c r="I213" s="187">
        <f t="shared" si="5"/>
        <v>2.63E-2</v>
      </c>
      <c r="J213" s="187">
        <f t="shared" si="6"/>
        <v>-9.5100000000000004E-2</v>
      </c>
      <c r="K213" s="187">
        <f t="shared" si="7"/>
        <v>-8.09E-2</v>
      </c>
      <c r="L213" s="187">
        <f t="shared" si="8"/>
        <v>1.1299999999999999E-2</v>
      </c>
      <c r="M213" s="187">
        <f t="shared" si="9"/>
        <v>8.9800000000000005E-2</v>
      </c>
      <c r="N213" s="187">
        <f t="shared" si="10"/>
        <v>3.7000000000000002E-3</v>
      </c>
      <c r="O213" s="187">
        <f t="shared" si="11"/>
        <v>-2.1899999999999999E-2</v>
      </c>
    </row>
    <row r="214" spans="2:15" x14ac:dyDescent="0.25">
      <c r="B214" t="s">
        <v>14</v>
      </c>
      <c r="C214" s="192" t="s">
        <v>107</v>
      </c>
      <c r="D214" s="187">
        <f t="shared" si="0"/>
        <v>0.03</v>
      </c>
      <c r="E214" s="187">
        <f t="shared" si="1"/>
        <v>5.8099999999999999E-2</v>
      </c>
      <c r="F214" s="187">
        <f t="shared" si="2"/>
        <v>0.11940000000000001</v>
      </c>
      <c r="G214" s="201">
        <f t="shared" si="3"/>
        <v>7.3999999999999996E-2</v>
      </c>
      <c r="H214" s="187">
        <f t="shared" si="4"/>
        <v>5.1499999999999997E-2</v>
      </c>
      <c r="I214" s="187">
        <f t="shared" si="5"/>
        <v>0.1197</v>
      </c>
      <c r="J214" s="187">
        <f t="shared" si="6"/>
        <v>-0.2762</v>
      </c>
      <c r="K214" s="187">
        <f t="shared" si="7"/>
        <v>-0.49049999999999999</v>
      </c>
      <c r="L214" s="187">
        <f t="shared" si="8"/>
        <v>3.4500000000000003E-2</v>
      </c>
      <c r="M214" s="187">
        <f t="shared" si="9"/>
        <v>0.31709999999999999</v>
      </c>
      <c r="N214" s="187">
        <f t="shared" si="10"/>
        <v>1.7600000000000001E-2</v>
      </c>
      <c r="O214" s="187">
        <f t="shared" si="11"/>
        <v>-0.17449999999999999</v>
      </c>
    </row>
    <row r="215" spans="2:15" x14ac:dyDescent="0.25">
      <c r="B215" s="65" t="s">
        <v>15</v>
      </c>
      <c r="C215" s="192" t="s">
        <v>108</v>
      </c>
      <c r="D215" s="187">
        <f t="shared" si="0"/>
        <v>0</v>
      </c>
      <c r="E215" s="187">
        <f t="shared" si="1"/>
        <v>6.1600000000000002E-2</v>
      </c>
      <c r="F215" s="187">
        <f t="shared" si="2"/>
        <v>8.3199999999999996E-2</v>
      </c>
      <c r="G215" s="201">
        <f t="shared" si="3"/>
        <v>6.3799999999999996E-2</v>
      </c>
      <c r="H215" s="187">
        <f t="shared" si="4"/>
        <v>3.3099999999999997E-2</v>
      </c>
      <c r="I215" s="187">
        <f t="shared" si="5"/>
        <v>7.5600000000000001E-2</v>
      </c>
      <c r="J215" s="187">
        <f t="shared" si="6"/>
        <v>4.99E-2</v>
      </c>
      <c r="K215" s="187">
        <f t="shared" si="7"/>
        <v>5.16E-2</v>
      </c>
      <c r="L215" s="187">
        <f t="shared" si="8"/>
        <v>4.8300000000000003E-2</v>
      </c>
      <c r="M215" s="187">
        <f t="shared" si="9"/>
        <v>0.35780000000000001</v>
      </c>
      <c r="N215" s="187">
        <f t="shared" si="10"/>
        <v>3.49E-2</v>
      </c>
      <c r="O215" s="187">
        <f t="shared" si="11"/>
        <v>2.63E-2</v>
      </c>
    </row>
    <row r="216" spans="2:15" x14ac:dyDescent="0.25">
      <c r="B216" s="65" t="s">
        <v>16</v>
      </c>
      <c r="C216" s="65" t="s">
        <v>109</v>
      </c>
      <c r="D216" s="187">
        <f t="shared" si="0"/>
        <v>0.97760000000000002</v>
      </c>
      <c r="E216" s="187">
        <f t="shared" si="1"/>
        <v>0.94440000000000002</v>
      </c>
      <c r="F216" s="187">
        <f t="shared" si="2"/>
        <v>0.87670000000000003</v>
      </c>
      <c r="G216" s="201">
        <f t="shared" si="3"/>
        <v>0.9133</v>
      </c>
      <c r="H216" s="187">
        <f t="shared" si="4"/>
        <v>0.91759999999999997</v>
      </c>
      <c r="I216" s="187">
        <f t="shared" si="5"/>
        <v>0.88160000000000005</v>
      </c>
      <c r="J216" s="187">
        <f t="shared" si="6"/>
        <v>1.6028</v>
      </c>
      <c r="K216" s="187">
        <f t="shared" si="7"/>
        <v>1.2277</v>
      </c>
      <c r="L216" s="187">
        <f t="shared" si="8"/>
        <v>0.92179999999999995</v>
      </c>
      <c r="M216" s="187">
        <f t="shared" si="9"/>
        <v>0.75139999999999996</v>
      </c>
      <c r="N216" s="187">
        <f t="shared" si="10"/>
        <v>0.9617</v>
      </c>
      <c r="O216" s="187">
        <f t="shared" si="11"/>
        <v>1.3133999999999999</v>
      </c>
    </row>
    <row r="217" spans="2:15" x14ac:dyDescent="0.25">
      <c r="B217" s="79"/>
      <c r="C217" s="179"/>
      <c r="D217" s="179"/>
      <c r="E217" s="179"/>
      <c r="I217" s="192"/>
    </row>
    <row r="218" spans="2:15" x14ac:dyDescent="0.25">
      <c r="B218" s="79"/>
      <c r="C218" s="179"/>
      <c r="D218" s="179"/>
      <c r="E218" s="179"/>
    </row>
    <row r="219" spans="2:15" x14ac:dyDescent="0.25">
      <c r="C219" t="s">
        <v>128</v>
      </c>
      <c r="D219" t="s">
        <v>120</v>
      </c>
      <c r="E219" t="s">
        <v>123</v>
      </c>
      <c r="F219" t="s">
        <v>121</v>
      </c>
      <c r="G219" s="77" t="s">
        <v>122</v>
      </c>
      <c r="H219" t="s">
        <v>124</v>
      </c>
      <c r="I219" t="s">
        <v>125</v>
      </c>
      <c r="J219" t="s">
        <v>126</v>
      </c>
      <c r="K219" t="s">
        <v>127</v>
      </c>
    </row>
    <row r="220" spans="2:15" x14ac:dyDescent="0.25">
      <c r="C220" s="187">
        <v>0.12740000000000001</v>
      </c>
      <c r="D220" s="187">
        <v>0</v>
      </c>
      <c r="E220" s="187">
        <v>0</v>
      </c>
      <c r="F220" s="187">
        <v>3.8300000000000001E-2</v>
      </c>
      <c r="G220" s="201">
        <v>1.4E-2</v>
      </c>
      <c r="H220" s="187">
        <v>2.2000000000000001E-3</v>
      </c>
      <c r="I220" s="187">
        <v>0.03</v>
      </c>
      <c r="J220" s="187">
        <v>0</v>
      </c>
      <c r="K220" s="187">
        <v>0.97760000000000002</v>
      </c>
    </row>
    <row r="221" spans="2:15" x14ac:dyDescent="0.25">
      <c r="C221" s="187">
        <v>0.1401</v>
      </c>
      <c r="D221" s="187">
        <v>4.0300000000000002E-2</v>
      </c>
      <c r="E221" s="187">
        <v>2.76E-2</v>
      </c>
      <c r="F221" s="187">
        <v>4.9200000000000001E-2</v>
      </c>
      <c r="G221" s="201">
        <v>3.1300000000000001E-2</v>
      </c>
      <c r="H221" s="187">
        <v>5.8999999999999999E-3</v>
      </c>
      <c r="I221" s="187">
        <v>5.8099999999999999E-2</v>
      </c>
      <c r="J221" s="187">
        <v>6.1600000000000002E-2</v>
      </c>
      <c r="K221" s="187">
        <v>0.94440000000000002</v>
      </c>
    </row>
    <row r="222" spans="2:15" x14ac:dyDescent="0.25">
      <c r="C222" s="187">
        <v>0.1492</v>
      </c>
      <c r="D222" s="187">
        <v>2.4400000000000002E-2</v>
      </c>
      <c r="E222" s="187">
        <v>2.2800000000000001E-2</v>
      </c>
      <c r="F222" s="187">
        <v>2.9399999999999999E-2</v>
      </c>
      <c r="G222" s="201">
        <v>1.6400000000000001E-2</v>
      </c>
      <c r="H222" s="187">
        <v>1.44E-2</v>
      </c>
      <c r="I222" s="187">
        <v>0.11940000000000001</v>
      </c>
      <c r="J222" s="187">
        <v>8.3199999999999996E-2</v>
      </c>
      <c r="K222" s="187">
        <v>0.87670000000000003</v>
      </c>
    </row>
    <row r="223" spans="2:15" x14ac:dyDescent="0.25">
      <c r="C223" s="187">
        <v>0.20630000000000001</v>
      </c>
      <c r="D223" s="187">
        <v>3.0300000000000001E-2</v>
      </c>
      <c r="E223" s="187">
        <v>1.8200000000000001E-2</v>
      </c>
      <c r="F223" s="187">
        <v>4.5699999999999998E-2</v>
      </c>
      <c r="G223" s="201">
        <v>3.1899999999999998E-2</v>
      </c>
      <c r="H223" s="187">
        <v>9.4999999999999998E-3</v>
      </c>
      <c r="I223" s="187">
        <v>7.3999999999999996E-2</v>
      </c>
      <c r="J223" s="187">
        <v>6.3799999999999996E-2</v>
      </c>
      <c r="K223" s="187">
        <v>0.9133</v>
      </c>
    </row>
    <row r="224" spans="2:15" x14ac:dyDescent="0.25">
      <c r="C224" s="187">
        <v>0.17</v>
      </c>
      <c r="D224" s="187">
        <v>2.3900000000000001E-2</v>
      </c>
      <c r="E224" s="187">
        <v>1.6E-2</v>
      </c>
      <c r="F224" s="187">
        <v>3.1699999999999999E-2</v>
      </c>
      <c r="G224" s="201">
        <v>2.7199999999999998E-2</v>
      </c>
      <c r="H224" s="187">
        <v>7.6E-3</v>
      </c>
      <c r="I224" s="187">
        <v>5.1499999999999997E-2</v>
      </c>
      <c r="J224" s="187">
        <v>3.3099999999999997E-2</v>
      </c>
      <c r="K224" s="187">
        <v>0.91759999999999997</v>
      </c>
    </row>
    <row r="225" spans="1:28" x14ac:dyDescent="0.25">
      <c r="C225" s="187">
        <v>0.23530000000000001</v>
      </c>
      <c r="D225" s="187">
        <v>2.9899999999999999E-2</v>
      </c>
      <c r="E225" s="187">
        <v>9.2999999999999992E-3</v>
      </c>
      <c r="F225" s="187">
        <v>3.3000000000000002E-2</v>
      </c>
      <c r="G225" s="201">
        <v>2.81E-2</v>
      </c>
      <c r="H225" s="187">
        <v>2.63E-2</v>
      </c>
      <c r="I225" s="187">
        <v>0.1197</v>
      </c>
      <c r="J225" s="187">
        <v>7.5600000000000001E-2</v>
      </c>
      <c r="K225" s="187">
        <v>0.88160000000000005</v>
      </c>
    </row>
    <row r="226" spans="1:28" x14ac:dyDescent="0.25">
      <c r="C226" s="187">
        <v>0.55059999999999998</v>
      </c>
      <c r="D226" s="187">
        <v>0.31509999999999999</v>
      </c>
      <c r="E226" s="187">
        <v>0.29949999999999999</v>
      </c>
      <c r="F226" s="187">
        <v>0.43990000000000001</v>
      </c>
      <c r="G226" s="201">
        <v>4.5999999999999999E-2</v>
      </c>
      <c r="H226" s="187">
        <v>-9.5100000000000004E-2</v>
      </c>
      <c r="I226" s="187">
        <v>-0.2762</v>
      </c>
      <c r="J226" s="187">
        <v>4.99E-2</v>
      </c>
      <c r="K226" s="187">
        <v>1.6028</v>
      </c>
    </row>
    <row r="227" spans="1:28" x14ac:dyDescent="0.25">
      <c r="C227" s="187">
        <v>0.1825</v>
      </c>
      <c r="D227" s="187">
        <v>0.12970000000000001</v>
      </c>
      <c r="E227" s="187">
        <v>9.7900000000000001E-2</v>
      </c>
      <c r="F227" s="187">
        <v>0.17910000000000001</v>
      </c>
      <c r="G227" s="201">
        <v>4.9399999999999999E-2</v>
      </c>
      <c r="H227" s="187">
        <v>-8.09E-2</v>
      </c>
      <c r="I227" s="187">
        <v>-0.49049999999999999</v>
      </c>
      <c r="J227" s="187">
        <v>5.16E-2</v>
      </c>
      <c r="K227" s="187">
        <v>1.2277</v>
      </c>
    </row>
    <row r="228" spans="1:28" x14ac:dyDescent="0.25">
      <c r="C228" s="187">
        <v>0.36780000000000002</v>
      </c>
      <c r="D228" s="187">
        <v>7.9000000000000008E-3</v>
      </c>
      <c r="E228" s="187">
        <v>1.49E-2</v>
      </c>
      <c r="F228" s="187">
        <v>5.0000000000000001E-3</v>
      </c>
      <c r="G228" s="201">
        <v>2.0999999999999999E-3</v>
      </c>
      <c r="H228" s="187">
        <v>1.1299999999999999E-2</v>
      </c>
      <c r="I228" s="187">
        <v>3.4500000000000003E-2</v>
      </c>
      <c r="J228" s="187">
        <v>4.8300000000000003E-2</v>
      </c>
      <c r="K228" s="187">
        <v>0.92179999999999995</v>
      </c>
    </row>
    <row r="229" spans="1:28" x14ac:dyDescent="0.25">
      <c r="C229" s="187">
        <v>0.23799999999999999</v>
      </c>
      <c r="D229" s="187">
        <v>1.21E-2</v>
      </c>
      <c r="E229" s="187">
        <v>1.8100000000000002E-2</v>
      </c>
      <c r="F229" s="187">
        <v>1.5299999999999999E-2</v>
      </c>
      <c r="G229" s="201">
        <v>2E-3</v>
      </c>
      <c r="H229" s="187">
        <v>8.9800000000000005E-2</v>
      </c>
      <c r="I229" s="187">
        <v>0.31709999999999999</v>
      </c>
      <c r="J229" s="187">
        <v>0.35780000000000001</v>
      </c>
      <c r="K229" s="187">
        <v>0.75139999999999996</v>
      </c>
    </row>
    <row r="230" spans="1:28" x14ac:dyDescent="0.25">
      <c r="C230" s="187">
        <v>0.1817</v>
      </c>
      <c r="D230" s="187">
        <v>1.7600000000000001E-2</v>
      </c>
      <c r="E230" s="187">
        <v>1.0200000000000001E-2</v>
      </c>
      <c r="F230" s="187">
        <v>2.2599999999999999E-2</v>
      </c>
      <c r="G230" s="201">
        <v>1.8599999999999998E-2</v>
      </c>
      <c r="H230" s="187">
        <v>3.7000000000000002E-3</v>
      </c>
      <c r="I230" s="187">
        <v>1.7600000000000001E-2</v>
      </c>
      <c r="J230" s="187">
        <v>3.49E-2</v>
      </c>
      <c r="K230" s="187">
        <v>0.9617</v>
      </c>
    </row>
    <row r="231" spans="1:28" x14ac:dyDescent="0.25">
      <c r="C231" s="187">
        <v>0.1598</v>
      </c>
      <c r="D231" s="187">
        <v>5.67E-2</v>
      </c>
      <c r="E231" s="187">
        <v>2.75E-2</v>
      </c>
      <c r="F231" s="187">
        <v>7.2099999999999997E-2</v>
      </c>
      <c r="G231" s="201">
        <v>4.3499999999999997E-2</v>
      </c>
      <c r="H231" s="187">
        <v>-2.1899999999999999E-2</v>
      </c>
      <c r="I231" s="187">
        <v>-0.17449999999999999</v>
      </c>
      <c r="J231" s="187">
        <v>2.63E-2</v>
      </c>
      <c r="K231" s="187">
        <v>1.3133999999999999</v>
      </c>
    </row>
    <row r="232" spans="1:28" x14ac:dyDescent="0.25">
      <c r="S232" s="314" t="s">
        <v>223</v>
      </c>
      <c r="T232" s="314"/>
      <c r="U232" s="314"/>
      <c r="V232" s="314"/>
      <c r="W232" s="314"/>
      <c r="X232" s="314"/>
      <c r="Y232" s="314"/>
      <c r="Z232" s="314"/>
      <c r="AA232" s="314"/>
      <c r="AB232" s="314"/>
    </row>
    <row r="233" spans="1:28" ht="15.75" customHeight="1" thickBot="1" x14ac:dyDescent="0.3">
      <c r="A233" s="322" t="s">
        <v>223</v>
      </c>
      <c r="B233" s="323"/>
      <c r="C233" s="323"/>
      <c r="D233" s="323"/>
      <c r="E233" s="323"/>
      <c r="F233" s="323"/>
      <c r="G233" s="323"/>
      <c r="H233" s="323"/>
      <c r="I233" s="323"/>
      <c r="J233" s="323"/>
      <c r="K233" s="323"/>
      <c r="S233" s="309" t="s">
        <v>69</v>
      </c>
      <c r="T233" s="309" t="s">
        <v>220</v>
      </c>
      <c r="U233" s="309" t="s">
        <v>213</v>
      </c>
      <c r="V233" s="309" t="s">
        <v>214</v>
      </c>
      <c r="W233" s="309" t="s">
        <v>215</v>
      </c>
      <c r="X233" s="309" t="s">
        <v>216</v>
      </c>
      <c r="Y233" s="309" t="s">
        <v>217</v>
      </c>
      <c r="Z233" s="309" t="s">
        <v>218</v>
      </c>
      <c r="AA233" s="309" t="s">
        <v>219</v>
      </c>
      <c r="AB233" s="309" t="s">
        <v>221</v>
      </c>
    </row>
    <row r="234" spans="1:28" ht="48.75" customHeight="1" thickBot="1" x14ac:dyDescent="0.3">
      <c r="A234" s="326" t="s">
        <v>69</v>
      </c>
      <c r="B234" s="327"/>
      <c r="C234" s="308" t="s">
        <v>112</v>
      </c>
      <c r="D234" s="306" t="s">
        <v>113</v>
      </c>
      <c r="E234" s="306" t="s">
        <v>103</v>
      </c>
      <c r="F234" s="306" t="s">
        <v>11</v>
      </c>
      <c r="G234" s="306" t="s">
        <v>97</v>
      </c>
      <c r="H234" s="306" t="s">
        <v>111</v>
      </c>
      <c r="I234" s="306" t="s">
        <v>107</v>
      </c>
      <c r="J234" s="306" t="s">
        <v>108</v>
      </c>
      <c r="K234" s="307" t="s">
        <v>109</v>
      </c>
      <c r="S234" s="310" t="s">
        <v>112</v>
      </c>
      <c r="T234" s="311">
        <v>12</v>
      </c>
      <c r="U234" s="312">
        <v>0.22572500000000004</v>
      </c>
      <c r="V234" s="312">
        <v>0.1207786339096899</v>
      </c>
      <c r="W234" s="312">
        <v>0.29285763760755901</v>
      </c>
      <c r="X234" s="312">
        <v>0.29285763760755901</v>
      </c>
      <c r="Y234" s="312">
        <v>-0.20779593368777038</v>
      </c>
      <c r="Z234" s="312">
        <v>1.0144886154417723</v>
      </c>
      <c r="AA234" s="312">
        <v>0.25479148657939255</v>
      </c>
      <c r="AB234" s="311" t="s">
        <v>212</v>
      </c>
    </row>
    <row r="235" spans="1:28" ht="45" x14ac:dyDescent="0.25">
      <c r="A235" s="324" t="s">
        <v>130</v>
      </c>
      <c r="B235" s="325"/>
      <c r="C235" s="203">
        <v>12</v>
      </c>
      <c r="D235" s="204">
        <v>12</v>
      </c>
      <c r="E235" s="204">
        <v>12</v>
      </c>
      <c r="F235" s="204">
        <v>12</v>
      </c>
      <c r="G235" s="204">
        <v>12</v>
      </c>
      <c r="H235" s="204">
        <v>12</v>
      </c>
      <c r="I235" s="204">
        <v>12</v>
      </c>
      <c r="J235" s="204">
        <v>12</v>
      </c>
      <c r="K235" s="205">
        <v>12</v>
      </c>
      <c r="S235" s="310" t="s">
        <v>113</v>
      </c>
      <c r="T235" s="311">
        <v>12</v>
      </c>
      <c r="U235" s="312">
        <v>5.7324999999999994E-2</v>
      </c>
      <c r="V235" s="312">
        <v>8.7911351268298576E-2</v>
      </c>
      <c r="W235" s="312">
        <v>0.33616956348150001</v>
      </c>
      <c r="X235" s="312">
        <v>0.33616956348150001</v>
      </c>
      <c r="Y235" s="312">
        <v>-0.25717564097996015</v>
      </c>
      <c r="Z235" s="312">
        <v>1.1645255278164182</v>
      </c>
      <c r="AA235" s="312">
        <v>0.13273709085667651</v>
      </c>
      <c r="AB235" s="311" t="s">
        <v>212</v>
      </c>
    </row>
    <row r="236" spans="1:28" ht="75" x14ac:dyDescent="0.25">
      <c r="A236" s="315" t="s">
        <v>131</v>
      </c>
      <c r="B236" s="206" t="s">
        <v>132</v>
      </c>
      <c r="C236" s="216">
        <v>0.22572500000000004</v>
      </c>
      <c r="D236" s="217">
        <v>5.7324999999999994E-2</v>
      </c>
      <c r="E236" s="217">
        <v>4.6833333333333331E-2</v>
      </c>
      <c r="F236" s="217">
        <v>8.0108333333333337E-2</v>
      </c>
      <c r="G236" s="217">
        <v>2.5874999999999999E-2</v>
      </c>
      <c r="H236" s="217">
        <v>-2.2666666666666664E-3</v>
      </c>
      <c r="I236" s="217">
        <v>-9.9416666666666629E-3</v>
      </c>
      <c r="J236" s="217">
        <v>7.3841666666666667E-2</v>
      </c>
      <c r="K236" s="218">
        <v>1.023925</v>
      </c>
      <c r="S236" s="310" t="s">
        <v>103</v>
      </c>
      <c r="T236" s="311">
        <v>12</v>
      </c>
      <c r="U236" s="312">
        <v>4.6833333333333331E-2</v>
      </c>
      <c r="V236" s="312">
        <v>8.3300969473059039E-2</v>
      </c>
      <c r="W236" s="312">
        <v>0.42463307520473209</v>
      </c>
      <c r="X236" s="312">
        <v>0.42463307520473209</v>
      </c>
      <c r="Y236" s="312">
        <v>-0.28698363141024535</v>
      </c>
      <c r="Z236" s="312">
        <v>1.4709721216576241</v>
      </c>
      <c r="AA236" s="312">
        <v>2.6400480059059594E-2</v>
      </c>
      <c r="AB236" s="311" t="s">
        <v>222</v>
      </c>
    </row>
    <row r="237" spans="1:28" x14ac:dyDescent="0.25">
      <c r="A237" s="316"/>
      <c r="B237" s="206" t="s">
        <v>133</v>
      </c>
      <c r="C237" s="216">
        <v>0.1207786339096899</v>
      </c>
      <c r="D237" s="217">
        <v>8.7911351268298576E-2</v>
      </c>
      <c r="E237" s="217">
        <v>8.3300969473059039E-2</v>
      </c>
      <c r="F237" s="217">
        <v>0.12191025356483524</v>
      </c>
      <c r="G237" s="217">
        <v>1.5841552093380014E-2</v>
      </c>
      <c r="H237" s="217">
        <v>4.795727896847992E-2</v>
      </c>
      <c r="I237" s="217">
        <v>0.21088161891679819</v>
      </c>
      <c r="J237" s="217">
        <v>9.223641026616268E-2</v>
      </c>
      <c r="K237" s="218">
        <v>0.23766466875143047</v>
      </c>
      <c r="S237" s="310" t="s">
        <v>11</v>
      </c>
      <c r="T237" s="311">
        <v>12</v>
      </c>
      <c r="U237" s="312">
        <v>8.0108333333333337E-2</v>
      </c>
      <c r="V237" s="312">
        <v>0.12191025356483524</v>
      </c>
      <c r="W237" s="312">
        <v>0.35952117557660374</v>
      </c>
      <c r="X237" s="312">
        <v>0.35952117557660374</v>
      </c>
      <c r="Y237" s="312">
        <v>-0.26891581440583007</v>
      </c>
      <c r="Z237" s="312">
        <v>1.2454178849911373</v>
      </c>
      <c r="AA237" s="312">
        <v>8.9898404822807421E-2</v>
      </c>
      <c r="AB237" s="311" t="s">
        <v>212</v>
      </c>
    </row>
    <row r="238" spans="1:28" ht="15" customHeight="1" x14ac:dyDescent="0.25">
      <c r="A238" s="317" t="s">
        <v>134</v>
      </c>
      <c r="B238" s="206" t="s">
        <v>135</v>
      </c>
      <c r="C238" s="216">
        <v>0.29285763760755901</v>
      </c>
      <c r="D238" s="217">
        <v>0.33616956348150001</v>
      </c>
      <c r="E238" s="217">
        <v>0.42463307520473209</v>
      </c>
      <c r="F238" s="217">
        <v>0.35952117557660374</v>
      </c>
      <c r="G238" s="217">
        <v>0.11705565398185924</v>
      </c>
      <c r="H238" s="217">
        <v>0.28710321456003235</v>
      </c>
      <c r="I238" s="217">
        <v>0.30195511758262522</v>
      </c>
      <c r="J238" s="217">
        <v>0.37625920436439853</v>
      </c>
      <c r="K238" s="218">
        <v>0.32727122797533098</v>
      </c>
      <c r="S238" s="310" t="s">
        <v>97</v>
      </c>
      <c r="T238" s="311">
        <v>12</v>
      </c>
      <c r="U238" s="312">
        <v>2.5874999999999999E-2</v>
      </c>
      <c r="V238" s="312">
        <v>1.5841552093380014E-2</v>
      </c>
      <c r="W238" s="312">
        <v>0.11705565398185924</v>
      </c>
      <c r="X238" s="312">
        <v>0.10185064461542946</v>
      </c>
      <c r="Y238" s="312">
        <v>-0.11705565398185924</v>
      </c>
      <c r="Z238" s="312">
        <v>0.40549268001956473</v>
      </c>
      <c r="AA238" s="312">
        <v>0.9965917646096577</v>
      </c>
      <c r="AB238" s="311" t="s">
        <v>212</v>
      </c>
    </row>
    <row r="239" spans="1:28" ht="30" x14ac:dyDescent="0.25">
      <c r="A239" s="316"/>
      <c r="B239" s="206" t="s">
        <v>136</v>
      </c>
      <c r="C239" s="216">
        <v>0.29285763760755901</v>
      </c>
      <c r="D239" s="217">
        <v>0.33616956348150001</v>
      </c>
      <c r="E239" s="217">
        <v>0.42463307520473209</v>
      </c>
      <c r="F239" s="217">
        <v>0.35952117557660374</v>
      </c>
      <c r="G239" s="217">
        <v>0.10185064461542946</v>
      </c>
      <c r="H239" s="217">
        <v>0.19742934996822475</v>
      </c>
      <c r="I239" s="217">
        <v>0.18602315179145262</v>
      </c>
      <c r="J239" s="217">
        <v>0.37625920436439853</v>
      </c>
      <c r="K239" s="218">
        <v>0.32727122797533098</v>
      </c>
      <c r="S239" s="310" t="s">
        <v>111</v>
      </c>
      <c r="T239" s="311">
        <v>12</v>
      </c>
      <c r="U239" s="312">
        <v>-2.2666666666666664E-3</v>
      </c>
      <c r="V239" s="312">
        <v>4.795727896847992E-2</v>
      </c>
      <c r="W239" s="312">
        <v>0.28710321456003235</v>
      </c>
      <c r="X239" s="312">
        <v>0.19742934996822475</v>
      </c>
      <c r="Y239" s="312">
        <v>-0.28710321456003235</v>
      </c>
      <c r="Z239" s="312">
        <v>0.99455470926864931</v>
      </c>
      <c r="AA239" s="312">
        <v>0.27588256542927014</v>
      </c>
      <c r="AB239" s="311" t="s">
        <v>212</v>
      </c>
    </row>
    <row r="240" spans="1:28" ht="30" x14ac:dyDescent="0.25">
      <c r="A240" s="316"/>
      <c r="B240" s="206" t="s">
        <v>137</v>
      </c>
      <c r="C240" s="216">
        <v>-0.20779593368777038</v>
      </c>
      <c r="D240" s="217">
        <v>-0.25717564097996015</v>
      </c>
      <c r="E240" s="217">
        <v>-0.28698363141024535</v>
      </c>
      <c r="F240" s="217">
        <v>-0.26891581440583007</v>
      </c>
      <c r="G240" s="217">
        <v>-0.11705565398185924</v>
      </c>
      <c r="H240" s="217">
        <v>-0.28710321456003235</v>
      </c>
      <c r="I240" s="217">
        <v>-0.30195511758262522</v>
      </c>
      <c r="J240" s="217">
        <v>-0.21979199238299715</v>
      </c>
      <c r="K240" s="218">
        <v>-0.1844716252067895</v>
      </c>
      <c r="S240" s="310" t="s">
        <v>107</v>
      </c>
      <c r="T240" s="311">
        <v>12</v>
      </c>
      <c r="U240" s="312">
        <v>-9.9416666666666629E-3</v>
      </c>
      <c r="V240" s="312">
        <v>0.21088161891679819</v>
      </c>
      <c r="W240" s="312">
        <v>0.30195511758262522</v>
      </c>
      <c r="X240" s="312">
        <v>0.18602315179145262</v>
      </c>
      <c r="Y240" s="312">
        <v>-0.30195511758262522</v>
      </c>
      <c r="Z240" s="312">
        <v>1.0460032105170827</v>
      </c>
      <c r="AA240" s="312">
        <v>0.22391059939711355</v>
      </c>
      <c r="AB240" s="311" t="s">
        <v>212</v>
      </c>
    </row>
    <row r="241" spans="1:28" ht="15" customHeight="1" x14ac:dyDescent="0.25">
      <c r="A241" s="318" t="s">
        <v>138</v>
      </c>
      <c r="B241" s="319"/>
      <c r="C241" s="216">
        <v>1.0144886154417723</v>
      </c>
      <c r="D241" s="217">
        <v>1.1645255278164182</v>
      </c>
      <c r="E241" s="217">
        <v>1.4709721216576241</v>
      </c>
      <c r="F241" s="217">
        <v>1.2454178849911373</v>
      </c>
      <c r="G241" s="217">
        <v>0.40549268001956473</v>
      </c>
      <c r="H241" s="217">
        <v>0.99455470926864931</v>
      </c>
      <c r="I241" s="217">
        <v>1.0460032105170827</v>
      </c>
      <c r="J241" s="217">
        <v>1.3034001175491594</v>
      </c>
      <c r="K241" s="218">
        <v>1.1337007894174604</v>
      </c>
      <c r="S241" s="310" t="s">
        <v>108</v>
      </c>
      <c r="T241" s="311">
        <v>12</v>
      </c>
      <c r="U241" s="312">
        <v>7.3841666666666667E-2</v>
      </c>
      <c r="V241" s="312">
        <v>9.223641026616268E-2</v>
      </c>
      <c r="W241" s="312">
        <v>0.37625920436439853</v>
      </c>
      <c r="X241" s="312">
        <v>0.37625920436439853</v>
      </c>
      <c r="Y241" s="312">
        <v>-0.21979199238299715</v>
      </c>
      <c r="Z241" s="312">
        <v>1.3034001175491594</v>
      </c>
      <c r="AA241" s="312">
        <v>6.6897480031040124E-2</v>
      </c>
      <c r="AB241" s="311" t="s">
        <v>212</v>
      </c>
    </row>
    <row r="242" spans="1:28" ht="60.75" thickBot="1" x14ac:dyDescent="0.3">
      <c r="A242" s="320" t="s">
        <v>139</v>
      </c>
      <c r="B242" s="321"/>
      <c r="C242" s="219">
        <v>0.25479148657939255</v>
      </c>
      <c r="D242" s="220">
        <v>0.13273709085667651</v>
      </c>
      <c r="E242" s="220">
        <v>2.6400480059059594E-2</v>
      </c>
      <c r="F242" s="220">
        <v>8.9898404822807421E-2</v>
      </c>
      <c r="G242" s="220">
        <v>0.9965917646096577</v>
      </c>
      <c r="H242" s="220">
        <v>0.27588256542927014</v>
      </c>
      <c r="I242" s="220">
        <v>0.22391059939711355</v>
      </c>
      <c r="J242" s="220">
        <v>6.6897480031040124E-2</v>
      </c>
      <c r="K242" s="221">
        <v>0.15291769339447658</v>
      </c>
      <c r="S242" s="310" t="s">
        <v>109</v>
      </c>
      <c r="T242" s="311">
        <v>12</v>
      </c>
      <c r="U242" s="312">
        <v>1.023925</v>
      </c>
      <c r="V242" s="312">
        <v>0.23766466875143047</v>
      </c>
      <c r="W242" s="312">
        <v>0.32727122797533098</v>
      </c>
      <c r="X242" s="312">
        <v>0.32727122797533098</v>
      </c>
      <c r="Y242" s="312">
        <v>-0.1844716252067895</v>
      </c>
      <c r="Z242" s="312">
        <v>1.1337007894174604</v>
      </c>
      <c r="AA242" s="312">
        <v>0.15291769339447658</v>
      </c>
      <c r="AB242" s="311" t="s">
        <v>212</v>
      </c>
    </row>
    <row r="243" spans="1:28" x14ac:dyDescent="0.25">
      <c r="A243" s="207"/>
      <c r="B243" s="222" t="s">
        <v>145</v>
      </c>
      <c r="C243" s="210" t="str">
        <f>IF(C242&gt;$B$244,"Normal",0)</f>
        <v>Normal</v>
      </c>
      <c r="D243" s="210" t="str">
        <f t="shared" ref="D243:K243" si="12">IF(D242&gt;$B$244,"Normal",0)</f>
        <v>Normal</v>
      </c>
      <c r="E243" s="210">
        <f t="shared" si="12"/>
        <v>0</v>
      </c>
      <c r="F243" s="210" t="str">
        <f t="shared" si="12"/>
        <v>Normal</v>
      </c>
      <c r="G243" s="210" t="str">
        <f t="shared" si="12"/>
        <v>Normal</v>
      </c>
      <c r="H243" s="210" t="str">
        <f t="shared" si="12"/>
        <v>Normal</v>
      </c>
      <c r="I243" s="210" t="str">
        <f t="shared" si="12"/>
        <v>Normal</v>
      </c>
      <c r="J243" s="210" t="str">
        <f t="shared" si="12"/>
        <v>Normal</v>
      </c>
      <c r="K243" s="210" t="str">
        <f t="shared" si="12"/>
        <v>Normal</v>
      </c>
    </row>
    <row r="244" spans="1:28" x14ac:dyDescent="0.25">
      <c r="A244" s="208" t="s">
        <v>140</v>
      </c>
      <c r="B244" s="209">
        <v>0.05</v>
      </c>
      <c r="C244" s="215" t="s">
        <v>144</v>
      </c>
      <c r="D244" s="207"/>
      <c r="E244" s="207"/>
      <c r="F244" s="207"/>
      <c r="G244" s="207"/>
      <c r="H244" s="207"/>
      <c r="I244" s="207"/>
      <c r="J244" s="207"/>
      <c r="K244" s="207"/>
    </row>
    <row r="245" spans="1:28" x14ac:dyDescent="0.25">
      <c r="A245" s="208" t="s">
        <v>141</v>
      </c>
      <c r="B245" s="211">
        <v>0.95</v>
      </c>
    </row>
    <row r="246" spans="1:28" ht="24" x14ac:dyDescent="0.25">
      <c r="A246" s="208" t="s">
        <v>142</v>
      </c>
      <c r="B246" s="209">
        <f>NORMSINV(B245)</f>
        <v>1.6448536269514715</v>
      </c>
    </row>
    <row r="247" spans="1:28" ht="24" x14ac:dyDescent="0.25">
      <c r="A247" s="208" t="s">
        <v>143</v>
      </c>
      <c r="B247" s="209"/>
      <c r="C247" s="212">
        <f>IF(C243="Normal",$B$246,($B$246+(SKEW(C220:C231)*(($B$246^2)-1)/6)+(KURT(C220:C231)-3)*(($B$246^3)-3*($B$246))/24))</f>
        <v>1.6448536269514715</v>
      </c>
      <c r="D247" s="212">
        <f t="shared" ref="D247:K247" si="13">IF(D243="Normal",$B$246,($B$246+(SKEW(D220:D231)*(($B$246^2)-1)/6)+(KURT(D220:D231)-3)*(($B$246^3)-3*($B$246))/24))</f>
        <v>1.6448536269514715</v>
      </c>
      <c r="E247" s="212">
        <f t="shared" si="13"/>
        <v>2.3704996208523661</v>
      </c>
      <c r="F247" s="212">
        <f t="shared" si="13"/>
        <v>1.6448536269514715</v>
      </c>
      <c r="G247" s="212">
        <f t="shared" si="13"/>
        <v>1.6448536269514715</v>
      </c>
      <c r="H247" s="212">
        <f t="shared" si="13"/>
        <v>1.6448536269514715</v>
      </c>
      <c r="I247" s="212">
        <f t="shared" si="13"/>
        <v>1.6448536269514715</v>
      </c>
      <c r="J247" s="212">
        <f t="shared" si="13"/>
        <v>1.6448536269514715</v>
      </c>
      <c r="K247" s="212">
        <f t="shared" si="13"/>
        <v>1.6448536269514715</v>
      </c>
      <c r="L247" s="212"/>
    </row>
    <row r="248" spans="1:28" ht="72" x14ac:dyDescent="0.25">
      <c r="A248" s="208"/>
      <c r="B248" s="209" t="s">
        <v>69</v>
      </c>
      <c r="C248" s="256" t="s">
        <v>112</v>
      </c>
      <c r="D248" s="256" t="s">
        <v>113</v>
      </c>
      <c r="E248" s="256" t="s">
        <v>103</v>
      </c>
      <c r="F248" s="256" t="s">
        <v>11</v>
      </c>
      <c r="G248" s="256" t="s">
        <v>97</v>
      </c>
      <c r="H248" s="256" t="s">
        <v>111</v>
      </c>
      <c r="I248" s="256" t="s">
        <v>107</v>
      </c>
      <c r="J248" s="256" t="s">
        <v>108</v>
      </c>
      <c r="K248" s="256" t="s">
        <v>109</v>
      </c>
      <c r="L248" s="212"/>
    </row>
    <row r="249" spans="1:28" x14ac:dyDescent="0.25">
      <c r="B249" s="213" t="s">
        <v>155</v>
      </c>
      <c r="C249" s="214">
        <f>C236+(C247*C237)</f>
        <v>0.4243881740445975</v>
      </c>
      <c r="D249" s="214">
        <f t="shared" ref="C249:K249" si="14">D236+(D247*D237)</f>
        <v>0.20192630498386574</v>
      </c>
      <c r="E249" s="214">
        <f t="shared" si="14"/>
        <v>0.2442982498858543</v>
      </c>
      <c r="F249" s="214">
        <f t="shared" si="14"/>
        <v>0.28063285607202615</v>
      </c>
      <c r="G249" s="214">
        <f t="shared" si="14"/>
        <v>5.1932034417336792E-2</v>
      </c>
      <c r="H249" s="214">
        <f t="shared" si="14"/>
        <v>7.6616037583361052E-2</v>
      </c>
      <c r="I249" s="214">
        <f t="shared" si="14"/>
        <v>0.33692772906602686</v>
      </c>
      <c r="J249" s="214">
        <f t="shared" si="14"/>
        <v>0.22555706062994829</v>
      </c>
      <c r="K249" s="214">
        <f t="shared" si="14"/>
        <v>1.4148485923940104</v>
      </c>
    </row>
    <row r="250" spans="1:28" x14ac:dyDescent="0.25">
      <c r="B250" s="213"/>
      <c r="C250" s="214"/>
      <c r="D250" s="214"/>
      <c r="E250" s="214"/>
      <c r="F250" s="214"/>
      <c r="G250" s="214"/>
      <c r="H250" s="214"/>
      <c r="I250" s="214"/>
      <c r="J250" s="214"/>
      <c r="K250" s="214"/>
    </row>
    <row r="251" spans="1:28" ht="30" x14ac:dyDescent="0.25">
      <c r="B251" s="73" t="s">
        <v>146</v>
      </c>
      <c r="C251" s="130" t="s">
        <v>148</v>
      </c>
      <c r="D251" s="130" t="s">
        <v>148</v>
      </c>
      <c r="E251" s="130" t="s">
        <v>148</v>
      </c>
      <c r="F251" s="130" t="s">
        <v>148</v>
      </c>
      <c r="G251" s="130" t="s">
        <v>148</v>
      </c>
      <c r="H251" s="130" t="s">
        <v>148</v>
      </c>
      <c r="I251" s="130" t="s">
        <v>148</v>
      </c>
      <c r="J251" s="130" t="s">
        <v>148</v>
      </c>
      <c r="K251" s="130" t="s">
        <v>148</v>
      </c>
    </row>
    <row r="252" spans="1:28" x14ac:dyDescent="0.25">
      <c r="A252" s="237"/>
      <c r="B252" s="237" t="s">
        <v>148</v>
      </c>
      <c r="C252">
        <f>1/4</f>
        <v>0.25</v>
      </c>
      <c r="D252">
        <f>1/4</f>
        <v>0.25</v>
      </c>
      <c r="E252">
        <f t="shared" ref="E252:K252" si="15">1/4</f>
        <v>0.25</v>
      </c>
      <c r="F252">
        <f t="shared" si="15"/>
        <v>0.25</v>
      </c>
      <c r="G252">
        <f t="shared" si="15"/>
        <v>0.25</v>
      </c>
      <c r="H252">
        <f t="shared" si="15"/>
        <v>0.25</v>
      </c>
      <c r="I252">
        <f t="shared" si="15"/>
        <v>0.25</v>
      </c>
      <c r="J252">
        <f t="shared" si="15"/>
        <v>0.25</v>
      </c>
      <c r="K252">
        <f t="shared" si="15"/>
        <v>0.25</v>
      </c>
      <c r="L252" s="66"/>
      <c r="M252" s="66" t="s">
        <v>156</v>
      </c>
    </row>
    <row r="253" spans="1:28" x14ac:dyDescent="0.25">
      <c r="A253" s="227" t="s">
        <v>149</v>
      </c>
      <c r="B253" s="226"/>
      <c r="C253" s="239" t="s">
        <v>154</v>
      </c>
      <c r="D253" s="239" t="s">
        <v>154</v>
      </c>
      <c r="E253" s="239" t="s">
        <v>154</v>
      </c>
      <c r="F253" s="239" t="s">
        <v>154</v>
      </c>
      <c r="G253" s="239" t="s">
        <v>154</v>
      </c>
      <c r="H253" s="239" t="s">
        <v>154</v>
      </c>
      <c r="I253" s="239" t="s">
        <v>154</v>
      </c>
      <c r="J253" s="239" t="s">
        <v>154</v>
      </c>
      <c r="K253" s="239" t="s">
        <v>154</v>
      </c>
      <c r="L253" s="238"/>
      <c r="M253" s="238" t="s">
        <v>157</v>
      </c>
    </row>
    <row r="254" spans="1:28" x14ac:dyDescent="0.25">
      <c r="A254" s="225"/>
      <c r="B254" s="234"/>
      <c r="C254" s="240"/>
      <c r="D254" s="241"/>
      <c r="E254" s="241"/>
      <c r="F254" s="241"/>
      <c r="G254" s="242"/>
      <c r="H254" s="241"/>
      <c r="I254" s="241"/>
      <c r="J254" s="241"/>
      <c r="K254" s="241"/>
      <c r="L254" s="243"/>
      <c r="M254" s="241">
        <v>25</v>
      </c>
    </row>
    <row r="255" spans="1:28" x14ac:dyDescent="0.25">
      <c r="A255" s="227" t="s">
        <v>150</v>
      </c>
      <c r="B255" s="234"/>
      <c r="C255" s="240"/>
      <c r="D255" s="241"/>
      <c r="E255" s="241"/>
      <c r="F255" s="241"/>
      <c r="G255" s="242"/>
      <c r="H255" s="241"/>
      <c r="I255" s="241"/>
      <c r="J255" s="241"/>
      <c r="K255" s="241"/>
      <c r="L255" s="243"/>
      <c r="M255" s="241"/>
    </row>
    <row r="256" spans="1:28" x14ac:dyDescent="0.25">
      <c r="A256" s="223"/>
      <c r="B256" s="135">
        <v>4</v>
      </c>
      <c r="C256" s="244">
        <f>PERCENTILE($C$220:$C$231,$C$252*B262)</f>
        <v>0.15715000000000001</v>
      </c>
      <c r="D256" s="244">
        <f>PERCENTILE($D$220:$D$231,$D$252*B256)</f>
        <v>0.31509999999999999</v>
      </c>
      <c r="E256" s="244">
        <f>PERCENTILE($E$220:$E$231,$E$252*B256)</f>
        <v>0.29949999999999999</v>
      </c>
      <c r="F256" s="244">
        <f>PERCENTILE($F$220:$F$231,$F$252*B256)</f>
        <v>0.43990000000000001</v>
      </c>
      <c r="G256" s="244">
        <f>PERCENTILE($G$220:$G$231,$G$252*B256)</f>
        <v>4.9399999999999999E-2</v>
      </c>
      <c r="H256" s="244">
        <f>PERCENTILE($H$220:$H$231,$H$252*B262)</f>
        <v>-3.8249999999999985E-3</v>
      </c>
      <c r="I256" s="244">
        <f>PERCENTILE($I$220:$I$231,$I$252*B262)</f>
        <v>-3.042499999999998E-2</v>
      </c>
      <c r="J256" s="244">
        <f>PERCENTILE($J$220:$J$231,$J$252*B262)</f>
        <v>3.4450000000000001E-2</v>
      </c>
      <c r="K256" s="244">
        <f>PERCENTILE($K$220:$K$231,$K$252*B256)</f>
        <v>1.6028</v>
      </c>
      <c r="L256" s="245"/>
      <c r="M256" s="246">
        <v>50</v>
      </c>
    </row>
    <row r="257" spans="1:13" x14ac:dyDescent="0.25">
      <c r="A257" s="224" t="s">
        <v>151</v>
      </c>
      <c r="B257" s="135"/>
      <c r="C257" s="244"/>
      <c r="D257" s="246"/>
      <c r="E257" s="246"/>
      <c r="F257" s="246"/>
      <c r="G257" s="247"/>
      <c r="H257" s="246"/>
      <c r="I257" s="246"/>
      <c r="J257" s="246"/>
      <c r="K257" s="246"/>
      <c r="L257" s="245"/>
      <c r="M257" s="246"/>
    </row>
    <row r="258" spans="1:13" x14ac:dyDescent="0.25">
      <c r="A258" s="231"/>
      <c r="B258" s="235">
        <v>3</v>
      </c>
      <c r="C258" s="248">
        <f>PERCENTILE($C$220:$C$231,$C$252*B260)</f>
        <v>0.18209999999999998</v>
      </c>
      <c r="D258" s="248">
        <f>PERCENTILE($D$220:$D$231,$D$252*B258)</f>
        <v>4.4400000000000002E-2</v>
      </c>
      <c r="E258" s="248">
        <f>PERCENTILE($E$220:$E$231,$E$252*B258)</f>
        <v>2.7525000000000001E-2</v>
      </c>
      <c r="F258" s="248">
        <f>PERCENTILE($F$220:$F$231,$F$252*B258)</f>
        <v>5.4925000000000002E-2</v>
      </c>
      <c r="G258" s="248">
        <f>PERCENTILE($G$220:$G$231,$G$252*B258)</f>
        <v>3.4799999999999998E-2</v>
      </c>
      <c r="H258" s="248">
        <f>PERCENTILE($H$220:$H$231,$H$252*B260)</f>
        <v>6.7499999999999999E-3</v>
      </c>
      <c r="I258" s="248">
        <f>PERCENTILE($I$220:$I$231,$I$252*B260)</f>
        <v>4.2999999999999997E-2</v>
      </c>
      <c r="J258" s="248">
        <f>PERCENTILE($J$220:$J$231,$J$252*B260)</f>
        <v>5.0750000000000003E-2</v>
      </c>
      <c r="K258" s="248">
        <f>PERCENTILE($K$220:$K$231,$K$252*B258)</f>
        <v>1.040125</v>
      </c>
      <c r="L258" s="249"/>
      <c r="M258" s="250">
        <v>75</v>
      </c>
    </row>
    <row r="259" spans="1:13" x14ac:dyDescent="0.25">
      <c r="A259" s="233" t="s">
        <v>152</v>
      </c>
      <c r="B259" s="235"/>
      <c r="C259" s="248"/>
      <c r="D259" s="250"/>
      <c r="E259" s="250"/>
      <c r="F259" s="250"/>
      <c r="G259" s="251"/>
      <c r="H259" s="250"/>
      <c r="I259" s="250"/>
      <c r="J259" s="250"/>
      <c r="K259" s="250"/>
      <c r="L259" s="249"/>
      <c r="M259" s="250"/>
    </row>
    <row r="260" spans="1:13" x14ac:dyDescent="0.25">
      <c r="A260" s="228"/>
      <c r="B260" s="236">
        <v>2</v>
      </c>
      <c r="C260" s="252">
        <f>PERCENTILE($C$220:$C$231,$C$252*B258)</f>
        <v>0.23597499999999999</v>
      </c>
      <c r="D260" s="252">
        <f>PERCENTILE($D$220:$D$231,$D$252*B260)</f>
        <v>2.7150000000000001E-2</v>
      </c>
      <c r="E260" s="252">
        <f>PERCENTILE($E$220:$E$231,$E$252*B260)</f>
        <v>1.8149999999999999E-2</v>
      </c>
      <c r="F260" s="252">
        <f>PERCENTILE($F$220:$F$231,$F$252*B260)</f>
        <v>3.5650000000000001E-2</v>
      </c>
      <c r="G260" s="252">
        <f>PERCENTILE($G$220:$G$231,$G$252*B260)</f>
        <v>2.7650000000000001E-2</v>
      </c>
      <c r="H260" s="252">
        <f>PERCENTILE($H$220:$H$231,$H$252*B258)</f>
        <v>1.2074999999999999E-2</v>
      </c>
      <c r="I260" s="252">
        <f>PERCENTILE($I$220:$I$231,$I$252*B258)</f>
        <v>8.5349999999999995E-2</v>
      </c>
      <c r="J260" s="252">
        <f>PERCENTILE($J$220:$J$231,$J$252*B258)</f>
        <v>6.6750000000000004E-2</v>
      </c>
      <c r="K260" s="252">
        <f>PERCENTILE($K$220:$K$231,$K$252*B260)</f>
        <v>0.93310000000000004</v>
      </c>
      <c r="L260" s="253"/>
      <c r="M260" s="254">
        <v>100</v>
      </c>
    </row>
    <row r="261" spans="1:13" x14ac:dyDescent="0.25">
      <c r="A261" s="230" t="s">
        <v>153</v>
      </c>
      <c r="B261" s="236"/>
      <c r="C261" s="252"/>
      <c r="D261" s="254"/>
      <c r="E261" s="254"/>
      <c r="F261" s="254"/>
      <c r="G261" s="255"/>
      <c r="H261" s="254"/>
      <c r="I261" s="254"/>
      <c r="J261" s="254"/>
      <c r="K261" s="254"/>
      <c r="L261" s="253"/>
      <c r="M261" s="254"/>
    </row>
    <row r="262" spans="1:13" x14ac:dyDescent="0.25">
      <c r="A262" s="228"/>
      <c r="B262" s="236">
        <v>1</v>
      </c>
      <c r="C262" s="252"/>
      <c r="D262" s="252">
        <f>PERCENTILE($D$220:$D$231,$D$252*B262)</f>
        <v>1.6225E-2</v>
      </c>
      <c r="E262" s="252">
        <f>PERCENTILE($E$220:$E$231,$E$252*B262)</f>
        <v>1.3725000000000001E-2</v>
      </c>
      <c r="F262" s="252">
        <f>PERCENTILE($F$220:$F$231,$F$252*B262)</f>
        <v>2.7699999999999999E-2</v>
      </c>
      <c r="G262" s="252">
        <f>PERCENTILE($G$220:$G$231,$G$252*B262)</f>
        <v>1.5800000000000002E-2</v>
      </c>
      <c r="H262" s="252">
        <f>PERCENTILE($H$220:$H$231,$H$252*B256)</f>
        <v>8.9800000000000005E-2</v>
      </c>
      <c r="I262" s="252">
        <f>PERCENTILE($I$220:$I$231,$I$252*B256)</f>
        <v>0.31709999999999999</v>
      </c>
      <c r="J262" s="252">
        <f>PERCENTILE($J$220:$J$231,$J$252*B256)</f>
        <v>0.35780000000000001</v>
      </c>
      <c r="K262" s="252">
        <f>PERCENTILE($K$220:$K$231,$K$252*B262)</f>
        <v>0.90537500000000004</v>
      </c>
      <c r="L262" s="253"/>
      <c r="M262" s="254"/>
    </row>
    <row r="263" spans="1:13" x14ac:dyDescent="0.25">
      <c r="A263" s="230" t="s">
        <v>153</v>
      </c>
      <c r="B263" s="229"/>
      <c r="C263" s="252"/>
      <c r="D263" s="254"/>
      <c r="E263" s="254"/>
      <c r="F263" s="254"/>
      <c r="G263" s="255"/>
      <c r="H263" s="254"/>
      <c r="I263" s="254"/>
      <c r="J263" s="254"/>
      <c r="K263" s="254"/>
      <c r="L263" s="253"/>
      <c r="M263" s="254"/>
    </row>
    <row r="264" spans="1:13" x14ac:dyDescent="0.25">
      <c r="A264" s="228"/>
      <c r="B264" s="229"/>
      <c r="C264" s="252"/>
      <c r="D264" s="254"/>
      <c r="E264" s="254"/>
      <c r="F264" s="254"/>
      <c r="G264" s="255"/>
      <c r="H264" s="254"/>
      <c r="I264" s="254"/>
      <c r="J264" s="254"/>
      <c r="K264" s="254"/>
      <c r="L264" s="253"/>
      <c r="M264" s="254"/>
    </row>
    <row r="265" spans="1:13" x14ac:dyDescent="0.25">
      <c r="G265"/>
    </row>
    <row r="266" spans="1:13" x14ac:dyDescent="0.25">
      <c r="G266"/>
    </row>
    <row r="267" spans="1:13" x14ac:dyDescent="0.25">
      <c r="G267"/>
    </row>
    <row r="268" spans="1:13" x14ac:dyDescent="0.25">
      <c r="G268"/>
    </row>
    <row r="269" spans="1:13" x14ac:dyDescent="0.25">
      <c r="G269"/>
    </row>
    <row r="270" spans="1:13" x14ac:dyDescent="0.25">
      <c r="G270"/>
    </row>
    <row r="271" spans="1:13" x14ac:dyDescent="0.25">
      <c r="G271"/>
    </row>
  </sheetData>
  <mergeCells count="8">
    <mergeCell ref="S232:AB232"/>
    <mergeCell ref="A236:A237"/>
    <mergeCell ref="A238:A240"/>
    <mergeCell ref="A241:B241"/>
    <mergeCell ref="A242:B242"/>
    <mergeCell ref="A233:K233"/>
    <mergeCell ref="A235:B235"/>
    <mergeCell ref="A234:B23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M85"/>
  <sheetViews>
    <sheetView view="pageBreakPreview" topLeftCell="A19" zoomScale="85" zoomScaleNormal="85" zoomScaleSheetLayoutView="85" workbookViewId="0">
      <selection activeCell="B6" sqref="B6:B14"/>
    </sheetView>
  </sheetViews>
  <sheetFormatPr defaultRowHeight="15" x14ac:dyDescent="0.25"/>
  <cols>
    <col min="1" max="1" width="4.7109375" customWidth="1"/>
    <col min="2" max="2" width="78.42578125" bestFit="1" customWidth="1"/>
    <col min="3" max="3" width="55.85546875" style="77" customWidth="1"/>
    <col min="13" max="13" width="54.140625" style="77" customWidth="1"/>
  </cols>
  <sheetData>
    <row r="2" spans="1:13" ht="15.75" x14ac:dyDescent="0.25">
      <c r="A2" s="111" t="s">
        <v>80</v>
      </c>
      <c r="B2" s="110"/>
    </row>
    <row r="3" spans="1:13" x14ac:dyDescent="0.25">
      <c r="D3" s="313" t="s">
        <v>75</v>
      </c>
      <c r="E3" s="313"/>
      <c r="F3" s="313"/>
      <c r="G3" s="313"/>
      <c r="H3" s="313"/>
      <c r="I3" s="313"/>
      <c r="J3" s="313"/>
      <c r="K3" s="313"/>
      <c r="L3" s="313"/>
    </row>
    <row r="4" spans="1:13" ht="45" x14ac:dyDescent="0.25">
      <c r="D4" s="68" t="s">
        <v>74</v>
      </c>
      <c r="E4" s="68" t="s">
        <v>73</v>
      </c>
      <c r="F4" s="68" t="s">
        <v>72</v>
      </c>
      <c r="G4" s="68" t="s">
        <v>71</v>
      </c>
      <c r="H4" s="69" t="s">
        <v>70</v>
      </c>
      <c r="I4" s="68" t="str">
        <f>G4</f>
        <v>Slightly favors</v>
      </c>
      <c r="J4" s="68" t="str">
        <f>F4</f>
        <v>Strongly favors</v>
      </c>
      <c r="K4" s="68" t="str">
        <f>E4</f>
        <v>Very strong favor</v>
      </c>
      <c r="L4" s="68" t="str">
        <f>D4</f>
        <v>Extreme favors</v>
      </c>
    </row>
    <row r="5" spans="1:13" ht="18.75" x14ac:dyDescent="0.25">
      <c r="A5" s="108" t="s">
        <v>66</v>
      </c>
      <c r="B5" s="71"/>
      <c r="D5" s="70">
        <v>9</v>
      </c>
      <c r="E5" s="70">
        <v>7</v>
      </c>
      <c r="F5" s="70">
        <v>5</v>
      </c>
      <c r="G5" s="70">
        <v>3</v>
      </c>
      <c r="H5" s="72">
        <v>1</v>
      </c>
      <c r="I5" s="70">
        <v>3</v>
      </c>
      <c r="J5" s="70">
        <v>5</v>
      </c>
      <c r="K5" s="70">
        <v>7</v>
      </c>
      <c r="L5" s="70">
        <v>9</v>
      </c>
    </row>
    <row r="6" spans="1:13" ht="30" x14ac:dyDescent="0.25">
      <c r="A6" s="62">
        <v>1</v>
      </c>
      <c r="B6" t="s">
        <v>26</v>
      </c>
      <c r="C6" s="100" t="s">
        <v>26</v>
      </c>
      <c r="D6" s="74"/>
      <c r="E6" s="74"/>
      <c r="F6" s="74"/>
      <c r="G6" s="74"/>
      <c r="H6" s="74">
        <v>1</v>
      </c>
      <c r="I6" s="74"/>
      <c r="J6" s="74"/>
      <c r="K6" s="74"/>
      <c r="L6" s="74"/>
      <c r="M6" s="100" t="s">
        <v>27</v>
      </c>
    </row>
    <row r="7" spans="1:13" x14ac:dyDescent="0.25">
      <c r="A7" s="62">
        <v>2</v>
      </c>
      <c r="B7" t="s">
        <v>27</v>
      </c>
      <c r="C7" s="100" t="s">
        <v>26</v>
      </c>
      <c r="D7" s="74"/>
      <c r="E7" s="74"/>
      <c r="F7" s="74"/>
      <c r="G7" s="74">
        <v>3</v>
      </c>
      <c r="H7" s="74"/>
      <c r="I7" s="74"/>
      <c r="J7" s="74"/>
      <c r="K7" s="74"/>
      <c r="L7" s="74"/>
      <c r="M7" s="100" t="s">
        <v>29</v>
      </c>
    </row>
    <row r="8" spans="1:13" x14ac:dyDescent="0.25">
      <c r="A8" s="62">
        <v>3</v>
      </c>
      <c r="B8" t="s">
        <v>29</v>
      </c>
      <c r="C8" s="100" t="s">
        <v>26</v>
      </c>
      <c r="D8" s="74"/>
      <c r="E8" s="74"/>
      <c r="F8" s="74"/>
      <c r="G8" s="74">
        <v>3</v>
      </c>
      <c r="H8" s="74"/>
      <c r="I8" s="74"/>
      <c r="J8" s="74"/>
      <c r="K8" s="74"/>
      <c r="L8" s="74"/>
      <c r="M8" s="100" t="s">
        <v>30</v>
      </c>
    </row>
    <row r="9" spans="1:13" x14ac:dyDescent="0.25">
      <c r="A9" s="62">
        <v>4</v>
      </c>
      <c r="B9" t="s">
        <v>30</v>
      </c>
      <c r="C9" s="100" t="s">
        <v>26</v>
      </c>
      <c r="D9" s="74"/>
      <c r="E9" s="74"/>
      <c r="F9" s="74"/>
      <c r="G9" s="74">
        <v>3</v>
      </c>
      <c r="H9" s="74"/>
      <c r="I9" s="74"/>
      <c r="J9" s="74"/>
      <c r="K9" s="74"/>
      <c r="L9" s="74"/>
      <c r="M9" s="100" t="s">
        <v>31</v>
      </c>
    </row>
    <row r="10" spans="1:13" ht="30" x14ac:dyDescent="0.25">
      <c r="A10" s="62">
        <v>5</v>
      </c>
      <c r="B10" t="s">
        <v>31</v>
      </c>
      <c r="C10" s="100" t="s">
        <v>26</v>
      </c>
      <c r="D10" s="74"/>
      <c r="E10" s="74"/>
      <c r="F10" s="74"/>
      <c r="G10" s="74">
        <v>3</v>
      </c>
      <c r="H10" s="74"/>
      <c r="I10" s="74"/>
      <c r="J10" s="74"/>
      <c r="K10" s="74"/>
      <c r="L10" s="74"/>
      <c r="M10" s="100" t="s">
        <v>32</v>
      </c>
    </row>
    <row r="11" spans="1:13" x14ac:dyDescent="0.25">
      <c r="A11" s="62">
        <v>6</v>
      </c>
      <c r="B11" t="s">
        <v>32</v>
      </c>
      <c r="C11" s="100" t="s">
        <v>26</v>
      </c>
      <c r="D11" s="74"/>
      <c r="E11" s="74"/>
      <c r="F11" s="74"/>
      <c r="G11" s="74">
        <v>3</v>
      </c>
      <c r="H11" s="74"/>
      <c r="I11" s="74"/>
      <c r="J11" s="74"/>
      <c r="K11" s="74"/>
      <c r="L11" s="74"/>
      <c r="M11" s="100" t="s">
        <v>34</v>
      </c>
    </row>
    <row r="12" spans="1:13" x14ac:dyDescent="0.25">
      <c r="A12" s="62">
        <v>7</v>
      </c>
      <c r="B12" t="s">
        <v>34</v>
      </c>
      <c r="C12" s="100" t="s">
        <v>26</v>
      </c>
      <c r="D12" s="74"/>
      <c r="E12" s="74"/>
      <c r="F12" s="74"/>
      <c r="G12" s="74"/>
      <c r="H12" s="74">
        <v>1</v>
      </c>
      <c r="I12" s="74"/>
      <c r="J12" s="74"/>
      <c r="K12" s="74"/>
      <c r="L12" s="74"/>
      <c r="M12" s="100" t="s">
        <v>35</v>
      </c>
    </row>
    <row r="13" spans="1:13" ht="30" x14ac:dyDescent="0.25">
      <c r="A13" s="62">
        <v>8</v>
      </c>
      <c r="B13" t="s">
        <v>35</v>
      </c>
      <c r="C13" s="115" t="s">
        <v>26</v>
      </c>
      <c r="D13" s="114"/>
      <c r="E13" s="114"/>
      <c r="F13" s="114"/>
      <c r="G13" s="114"/>
      <c r="H13" s="114"/>
      <c r="I13" s="114"/>
      <c r="J13" s="114"/>
      <c r="K13" s="114"/>
      <c r="L13" s="114"/>
      <c r="M13" s="115" t="s">
        <v>39</v>
      </c>
    </row>
    <row r="14" spans="1:13" x14ac:dyDescent="0.25">
      <c r="A14" s="62">
        <v>9</v>
      </c>
      <c r="B14" t="s">
        <v>39</v>
      </c>
      <c r="C14" s="101"/>
      <c r="D14" s="75"/>
      <c r="E14" s="75"/>
      <c r="F14" s="75"/>
      <c r="G14" s="75"/>
      <c r="H14" s="75"/>
      <c r="I14" s="75"/>
      <c r="J14" s="75"/>
      <c r="K14" s="75"/>
      <c r="L14" s="75"/>
      <c r="M14" s="101"/>
    </row>
    <row r="15" spans="1:13" ht="30" x14ac:dyDescent="0.25">
      <c r="C15" s="100" t="s">
        <v>27</v>
      </c>
      <c r="D15" s="74"/>
      <c r="E15" s="74"/>
      <c r="F15" s="74"/>
      <c r="G15" s="74"/>
      <c r="H15" s="74">
        <v>1</v>
      </c>
      <c r="I15" s="74"/>
      <c r="J15" s="74"/>
      <c r="K15" s="74"/>
      <c r="L15" s="74"/>
      <c r="M15" s="100" t="s">
        <v>26</v>
      </c>
    </row>
    <row r="16" spans="1:13" ht="30" x14ac:dyDescent="0.25">
      <c r="C16" s="100" t="s">
        <v>27</v>
      </c>
      <c r="D16" s="74"/>
      <c r="E16" s="74"/>
      <c r="F16" s="74"/>
      <c r="G16" s="74"/>
      <c r="H16" s="74">
        <v>1</v>
      </c>
      <c r="I16" s="74"/>
      <c r="J16" s="74"/>
      <c r="K16" s="74"/>
      <c r="L16" s="74"/>
      <c r="M16" s="100" t="s">
        <v>29</v>
      </c>
    </row>
    <row r="17" spans="3:13" ht="30" x14ac:dyDescent="0.25">
      <c r="C17" s="100" t="s">
        <v>27</v>
      </c>
      <c r="D17" s="74"/>
      <c r="E17" s="74"/>
      <c r="F17" s="74"/>
      <c r="G17" s="74"/>
      <c r="H17" s="74">
        <v>1</v>
      </c>
      <c r="I17" s="74"/>
      <c r="J17" s="74"/>
      <c r="K17" s="74"/>
      <c r="L17" s="74"/>
      <c r="M17" s="100" t="s">
        <v>30</v>
      </c>
    </row>
    <row r="18" spans="3:13" ht="30" x14ac:dyDescent="0.25">
      <c r="C18" s="100" t="s">
        <v>27</v>
      </c>
      <c r="D18" s="74"/>
      <c r="E18" s="74"/>
      <c r="F18" s="74"/>
      <c r="G18" s="74"/>
      <c r="H18" s="74">
        <v>1</v>
      </c>
      <c r="I18" s="74"/>
      <c r="J18" s="74"/>
      <c r="K18" s="74"/>
      <c r="L18" s="74"/>
      <c r="M18" s="100" t="s">
        <v>31</v>
      </c>
    </row>
    <row r="19" spans="3:13" ht="30" x14ac:dyDescent="0.25">
      <c r="C19" s="100" t="s">
        <v>27</v>
      </c>
      <c r="D19" s="74"/>
      <c r="E19" s="74"/>
      <c r="F19" s="74"/>
      <c r="G19" s="74">
        <v>3</v>
      </c>
      <c r="H19" s="74"/>
      <c r="I19" s="74"/>
      <c r="J19" s="74"/>
      <c r="K19" s="74"/>
      <c r="L19" s="74"/>
      <c r="M19" s="100" t="s">
        <v>32</v>
      </c>
    </row>
    <row r="20" spans="3:13" ht="30" x14ac:dyDescent="0.25">
      <c r="C20" s="100" t="s">
        <v>27</v>
      </c>
      <c r="D20" s="74"/>
      <c r="E20" s="74"/>
      <c r="F20" s="74">
        <v>5</v>
      </c>
      <c r="G20" s="74"/>
      <c r="H20" s="74"/>
      <c r="I20" s="74"/>
      <c r="J20" s="74"/>
      <c r="K20" s="74"/>
      <c r="L20" s="74"/>
      <c r="M20" s="100" t="s">
        <v>34</v>
      </c>
    </row>
    <row r="21" spans="3:13" ht="30" x14ac:dyDescent="0.25">
      <c r="C21" s="100" t="s">
        <v>27</v>
      </c>
      <c r="D21" s="74"/>
      <c r="E21" s="74"/>
      <c r="F21" s="74">
        <v>5</v>
      </c>
      <c r="G21" s="74"/>
      <c r="H21" s="74"/>
      <c r="I21" s="74"/>
      <c r="J21" s="74"/>
      <c r="K21" s="74"/>
      <c r="L21" s="74"/>
      <c r="M21" s="100" t="s">
        <v>35</v>
      </c>
    </row>
    <row r="22" spans="3:13" ht="30" x14ac:dyDescent="0.25">
      <c r="C22" s="115" t="s">
        <v>27</v>
      </c>
      <c r="D22" s="114"/>
      <c r="E22" s="114"/>
      <c r="F22" s="114"/>
      <c r="G22" s="114"/>
      <c r="H22" s="114"/>
      <c r="I22" s="114"/>
      <c r="J22" s="114"/>
      <c r="K22" s="114"/>
      <c r="L22" s="114"/>
      <c r="M22" s="115" t="s">
        <v>39</v>
      </c>
    </row>
    <row r="23" spans="3:13" x14ac:dyDescent="0.25">
      <c r="C23" s="101"/>
      <c r="D23" s="75"/>
      <c r="E23" s="75"/>
      <c r="F23" s="75"/>
      <c r="G23" s="75"/>
      <c r="H23" s="75"/>
      <c r="I23" s="75"/>
      <c r="J23" s="75"/>
      <c r="K23" s="75"/>
      <c r="L23" s="75"/>
      <c r="M23" s="101"/>
    </row>
    <row r="24" spans="3:13" x14ac:dyDescent="0.25">
      <c r="C24" s="100" t="s">
        <v>29</v>
      </c>
      <c r="D24" s="74"/>
      <c r="E24" s="74"/>
      <c r="F24" s="74"/>
      <c r="G24" s="74"/>
      <c r="H24" s="74"/>
      <c r="I24" s="74">
        <f>1/3</f>
        <v>0.33333333333333331</v>
      </c>
      <c r="J24" s="74"/>
      <c r="K24" s="74"/>
      <c r="L24" s="74"/>
      <c r="M24" s="100" t="s">
        <v>26</v>
      </c>
    </row>
    <row r="25" spans="3:13" ht="30" x14ac:dyDescent="0.25">
      <c r="C25" s="100" t="s">
        <v>29</v>
      </c>
      <c r="D25" s="74"/>
      <c r="E25" s="74"/>
      <c r="F25" s="74"/>
      <c r="G25" s="74"/>
      <c r="H25" s="74">
        <v>1</v>
      </c>
      <c r="I25" s="74"/>
      <c r="J25" s="74"/>
      <c r="K25" s="74"/>
      <c r="L25" s="74"/>
      <c r="M25" s="100" t="s">
        <v>27</v>
      </c>
    </row>
    <row r="26" spans="3:13" x14ac:dyDescent="0.25">
      <c r="C26" s="100" t="s">
        <v>29</v>
      </c>
      <c r="D26" s="74"/>
      <c r="E26" s="74"/>
      <c r="F26" s="74"/>
      <c r="G26" s="74"/>
      <c r="H26" s="74">
        <v>1</v>
      </c>
      <c r="I26" s="74"/>
      <c r="J26" s="74"/>
      <c r="K26" s="74"/>
      <c r="L26" s="74"/>
      <c r="M26" s="100" t="s">
        <v>30</v>
      </c>
    </row>
    <row r="27" spans="3:13" x14ac:dyDescent="0.25">
      <c r="C27" s="100" t="s">
        <v>29</v>
      </c>
      <c r="D27" s="74"/>
      <c r="E27" s="74"/>
      <c r="F27" s="74"/>
      <c r="G27" s="74"/>
      <c r="H27" s="74">
        <v>1</v>
      </c>
      <c r="I27" s="74"/>
      <c r="J27" s="74"/>
      <c r="K27" s="74"/>
      <c r="L27" s="74"/>
      <c r="M27" s="100" t="s">
        <v>31</v>
      </c>
    </row>
    <row r="28" spans="3:13" ht="30" x14ac:dyDescent="0.25">
      <c r="C28" s="100" t="s">
        <v>29</v>
      </c>
      <c r="D28" s="74"/>
      <c r="E28" s="74"/>
      <c r="F28" s="74"/>
      <c r="G28" s="74">
        <v>3</v>
      </c>
      <c r="H28" s="74"/>
      <c r="I28" s="74"/>
      <c r="J28" s="74"/>
      <c r="K28" s="74"/>
      <c r="L28" s="74"/>
      <c r="M28" s="100" t="s">
        <v>32</v>
      </c>
    </row>
    <row r="29" spans="3:13" x14ac:dyDescent="0.25">
      <c r="C29" s="100" t="s">
        <v>29</v>
      </c>
      <c r="D29" s="74"/>
      <c r="E29" s="74"/>
      <c r="F29" s="74"/>
      <c r="G29" s="74">
        <v>3</v>
      </c>
      <c r="H29" s="74"/>
      <c r="I29" s="74"/>
      <c r="J29" s="74"/>
      <c r="K29" s="74"/>
      <c r="L29" s="74"/>
      <c r="M29" s="100" t="s">
        <v>34</v>
      </c>
    </row>
    <row r="30" spans="3:13" x14ac:dyDescent="0.25">
      <c r="C30" s="100" t="s">
        <v>29</v>
      </c>
      <c r="D30" s="74"/>
      <c r="E30" s="74"/>
      <c r="F30" s="74"/>
      <c r="G30" s="74">
        <v>3</v>
      </c>
      <c r="H30" s="74"/>
      <c r="I30" s="74"/>
      <c r="J30" s="74"/>
      <c r="K30" s="74"/>
      <c r="L30" s="74"/>
      <c r="M30" s="100" t="s">
        <v>35</v>
      </c>
    </row>
    <row r="31" spans="3:13" ht="30" x14ac:dyDescent="0.25">
      <c r="C31" s="115" t="s">
        <v>29</v>
      </c>
      <c r="D31" s="114"/>
      <c r="E31" s="114"/>
      <c r="F31" s="114"/>
      <c r="G31" s="114"/>
      <c r="H31" s="114"/>
      <c r="I31" s="114"/>
      <c r="J31" s="114"/>
      <c r="K31" s="114"/>
      <c r="L31" s="114"/>
      <c r="M31" s="115" t="s">
        <v>39</v>
      </c>
    </row>
    <row r="32" spans="3:13" x14ac:dyDescent="0.25">
      <c r="C32" s="101"/>
      <c r="D32" s="75"/>
      <c r="E32" s="75"/>
      <c r="F32" s="75"/>
      <c r="G32" s="75"/>
      <c r="H32" s="75"/>
      <c r="I32" s="75"/>
      <c r="J32" s="75"/>
      <c r="K32" s="75"/>
      <c r="L32" s="75"/>
      <c r="M32" s="101"/>
    </row>
    <row r="33" spans="3:13" x14ac:dyDescent="0.25">
      <c r="C33" s="100" t="s">
        <v>30</v>
      </c>
      <c r="D33" s="74"/>
      <c r="E33" s="74"/>
      <c r="F33" s="74"/>
      <c r="G33" s="74"/>
      <c r="H33" s="74"/>
      <c r="I33" s="74">
        <f>1/3</f>
        <v>0.33333333333333331</v>
      </c>
      <c r="J33" s="74"/>
      <c r="K33" s="74"/>
      <c r="L33" s="74"/>
      <c r="M33" s="100" t="s">
        <v>26</v>
      </c>
    </row>
    <row r="34" spans="3:13" ht="30" x14ac:dyDescent="0.25">
      <c r="C34" s="100" t="s">
        <v>30</v>
      </c>
      <c r="D34" s="74"/>
      <c r="E34" s="74"/>
      <c r="F34" s="74"/>
      <c r="G34" s="74"/>
      <c r="H34" s="74"/>
      <c r="I34" s="74">
        <f>1/3</f>
        <v>0.33333333333333331</v>
      </c>
      <c r="J34" s="74"/>
      <c r="K34" s="74"/>
      <c r="L34" s="74"/>
      <c r="M34" s="100" t="s">
        <v>27</v>
      </c>
    </row>
    <row r="35" spans="3:13" x14ac:dyDescent="0.25">
      <c r="C35" s="100" t="s">
        <v>30</v>
      </c>
      <c r="D35" s="74"/>
      <c r="E35" s="74"/>
      <c r="F35" s="74"/>
      <c r="G35" s="74"/>
      <c r="H35" s="74">
        <v>1</v>
      </c>
      <c r="I35" s="74"/>
      <c r="J35" s="74"/>
      <c r="K35" s="74"/>
      <c r="L35" s="74"/>
      <c r="M35" s="100" t="s">
        <v>29</v>
      </c>
    </row>
    <row r="36" spans="3:13" x14ac:dyDescent="0.25">
      <c r="C36" s="100" t="s">
        <v>30</v>
      </c>
      <c r="D36" s="74"/>
      <c r="E36" s="74"/>
      <c r="F36" s="74"/>
      <c r="G36" s="74"/>
      <c r="H36" s="74">
        <v>1</v>
      </c>
      <c r="I36" s="74"/>
      <c r="J36" s="74"/>
      <c r="K36" s="74"/>
      <c r="L36" s="74"/>
      <c r="M36" s="100" t="s">
        <v>31</v>
      </c>
    </row>
    <row r="37" spans="3:13" ht="30" x14ac:dyDescent="0.25">
      <c r="C37" s="100" t="s">
        <v>30</v>
      </c>
      <c r="D37" s="74"/>
      <c r="E37" s="74"/>
      <c r="F37" s="74"/>
      <c r="G37" s="74">
        <v>3</v>
      </c>
      <c r="H37" s="74"/>
      <c r="I37" s="74"/>
      <c r="J37" s="74"/>
      <c r="K37" s="74"/>
      <c r="L37" s="74"/>
      <c r="M37" s="100" t="s">
        <v>32</v>
      </c>
    </row>
    <row r="38" spans="3:13" x14ac:dyDescent="0.25">
      <c r="C38" s="100" t="s">
        <v>30</v>
      </c>
      <c r="D38" s="74"/>
      <c r="E38" s="74"/>
      <c r="F38" s="74"/>
      <c r="G38" s="74">
        <v>3</v>
      </c>
      <c r="H38" s="74"/>
      <c r="I38" s="74"/>
      <c r="J38" s="74"/>
      <c r="K38" s="74"/>
      <c r="L38" s="74"/>
      <c r="M38" s="100" t="s">
        <v>34</v>
      </c>
    </row>
    <row r="39" spans="3:13" x14ac:dyDescent="0.25">
      <c r="C39" s="100" t="s">
        <v>30</v>
      </c>
      <c r="D39" s="74"/>
      <c r="E39" s="74"/>
      <c r="F39" s="74"/>
      <c r="G39" s="74">
        <v>3</v>
      </c>
      <c r="H39" s="74"/>
      <c r="I39" s="74"/>
      <c r="J39" s="74"/>
      <c r="K39" s="74"/>
      <c r="L39" s="74"/>
      <c r="M39" s="100" t="s">
        <v>35</v>
      </c>
    </row>
    <row r="40" spans="3:13" ht="30" x14ac:dyDescent="0.25">
      <c r="C40" s="100" t="s">
        <v>30</v>
      </c>
      <c r="D40" s="74"/>
      <c r="E40" s="74"/>
      <c r="F40" s="74"/>
      <c r="G40" s="74"/>
      <c r="H40" s="74"/>
      <c r="I40" s="74"/>
      <c r="J40" s="74"/>
      <c r="K40" s="74"/>
      <c r="L40" s="74"/>
      <c r="M40" s="100" t="s">
        <v>39</v>
      </c>
    </row>
    <row r="41" spans="3:13" x14ac:dyDescent="0.25">
      <c r="C41" s="101"/>
      <c r="D41" s="75"/>
      <c r="E41" s="75"/>
      <c r="F41" s="75"/>
      <c r="G41" s="75"/>
      <c r="H41" s="75"/>
      <c r="I41" s="75"/>
      <c r="J41" s="75"/>
      <c r="K41" s="75"/>
      <c r="L41" s="75"/>
      <c r="M41" s="101"/>
    </row>
    <row r="42" spans="3:13" x14ac:dyDescent="0.25">
      <c r="C42" s="100" t="s">
        <v>31</v>
      </c>
      <c r="D42" s="74"/>
      <c r="E42" s="74"/>
      <c r="F42" s="74"/>
      <c r="G42" s="74"/>
      <c r="H42" s="74"/>
      <c r="I42" s="74">
        <f>1/3</f>
        <v>0.33333333333333331</v>
      </c>
      <c r="J42" s="74"/>
      <c r="K42" s="74"/>
      <c r="L42" s="74"/>
      <c r="M42" s="100" t="s">
        <v>26</v>
      </c>
    </row>
    <row r="43" spans="3:13" ht="30" x14ac:dyDescent="0.25">
      <c r="C43" s="100" t="s">
        <v>31</v>
      </c>
      <c r="D43" s="74"/>
      <c r="E43" s="74"/>
      <c r="F43" s="74"/>
      <c r="G43" s="74"/>
      <c r="H43" s="74"/>
      <c r="I43" s="74">
        <f>1/3</f>
        <v>0.33333333333333331</v>
      </c>
      <c r="J43" s="74"/>
      <c r="K43" s="74"/>
      <c r="L43" s="74"/>
      <c r="M43" s="100" t="s">
        <v>27</v>
      </c>
    </row>
    <row r="44" spans="3:13" x14ac:dyDescent="0.25">
      <c r="C44" s="100" t="s">
        <v>31</v>
      </c>
      <c r="D44" s="74"/>
      <c r="E44" s="74"/>
      <c r="F44" s="74"/>
      <c r="G44" s="74"/>
      <c r="H44" s="74">
        <v>1</v>
      </c>
      <c r="I44" s="74"/>
      <c r="J44" s="74"/>
      <c r="K44" s="74"/>
      <c r="L44" s="74"/>
      <c r="M44" s="100" t="s">
        <v>29</v>
      </c>
    </row>
    <row r="45" spans="3:13" x14ac:dyDescent="0.25">
      <c r="C45" s="100" t="s">
        <v>31</v>
      </c>
      <c r="D45" s="74"/>
      <c r="E45" s="74"/>
      <c r="F45" s="74"/>
      <c r="G45" s="74"/>
      <c r="H45" s="74">
        <v>1</v>
      </c>
      <c r="I45" s="74"/>
      <c r="J45" s="74"/>
      <c r="K45" s="74"/>
      <c r="L45" s="74"/>
      <c r="M45" s="100" t="s">
        <v>30</v>
      </c>
    </row>
    <row r="46" spans="3:13" ht="30" x14ac:dyDescent="0.25">
      <c r="C46" s="100" t="s">
        <v>31</v>
      </c>
      <c r="D46" s="74"/>
      <c r="E46" s="74"/>
      <c r="F46" s="74"/>
      <c r="G46" s="74">
        <v>3</v>
      </c>
      <c r="H46" s="74"/>
      <c r="I46" s="74"/>
      <c r="J46" s="74"/>
      <c r="K46" s="74"/>
      <c r="L46" s="74"/>
      <c r="M46" s="100" t="s">
        <v>32</v>
      </c>
    </row>
    <row r="47" spans="3:13" x14ac:dyDescent="0.25">
      <c r="C47" s="100" t="s">
        <v>31</v>
      </c>
      <c r="D47" s="74"/>
      <c r="E47" s="74"/>
      <c r="F47" s="74"/>
      <c r="G47" s="74">
        <v>3</v>
      </c>
      <c r="H47" s="74"/>
      <c r="I47" s="74"/>
      <c r="J47" s="74"/>
      <c r="K47" s="74"/>
      <c r="L47" s="74"/>
      <c r="M47" s="100" t="s">
        <v>34</v>
      </c>
    </row>
    <row r="48" spans="3:13" x14ac:dyDescent="0.25">
      <c r="C48" s="100" t="s">
        <v>31</v>
      </c>
      <c r="D48" s="74"/>
      <c r="E48" s="74"/>
      <c r="F48" s="74"/>
      <c r="G48" s="74">
        <v>3</v>
      </c>
      <c r="H48" s="74"/>
      <c r="I48" s="74"/>
      <c r="J48" s="74"/>
      <c r="K48" s="74"/>
      <c r="L48" s="74"/>
      <c r="M48" s="100" t="s">
        <v>35</v>
      </c>
    </row>
    <row r="49" spans="3:13" ht="30" x14ac:dyDescent="0.25">
      <c r="C49" s="115" t="s">
        <v>31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5" t="s">
        <v>39</v>
      </c>
    </row>
    <row r="50" spans="3:13" x14ac:dyDescent="0.25">
      <c r="C50" s="101"/>
      <c r="D50" s="75"/>
      <c r="E50" s="75"/>
      <c r="F50" s="75"/>
      <c r="G50" s="75"/>
      <c r="H50" s="75"/>
      <c r="I50" s="75"/>
      <c r="J50" s="75"/>
      <c r="K50" s="75"/>
      <c r="L50" s="75"/>
      <c r="M50" s="101"/>
    </row>
    <row r="51" spans="3:13" ht="30" x14ac:dyDescent="0.25">
      <c r="C51" s="100" t="s">
        <v>32</v>
      </c>
      <c r="D51" s="74"/>
      <c r="E51" s="74"/>
      <c r="F51" s="74"/>
      <c r="G51" s="74"/>
      <c r="H51" s="74"/>
      <c r="I51" s="74">
        <f>1/3</f>
        <v>0.33333333333333331</v>
      </c>
      <c r="J51" s="74"/>
      <c r="K51" s="74"/>
      <c r="L51" s="74"/>
      <c r="M51" s="100" t="s">
        <v>26</v>
      </c>
    </row>
    <row r="52" spans="3:13" ht="30" x14ac:dyDescent="0.25">
      <c r="C52" s="100" t="s">
        <v>32</v>
      </c>
      <c r="D52" s="74"/>
      <c r="E52" s="74"/>
      <c r="F52" s="74"/>
      <c r="G52" s="74"/>
      <c r="H52" s="74"/>
      <c r="I52" s="74">
        <f t="shared" ref="I52:I57" si="0">1/3</f>
        <v>0.33333333333333331</v>
      </c>
      <c r="J52" s="74"/>
      <c r="K52" s="74"/>
      <c r="L52" s="74"/>
      <c r="M52" s="100" t="s">
        <v>27</v>
      </c>
    </row>
    <row r="53" spans="3:13" ht="30" x14ac:dyDescent="0.25">
      <c r="C53" s="100" t="s">
        <v>32</v>
      </c>
      <c r="D53" s="74"/>
      <c r="E53" s="74"/>
      <c r="F53" s="74"/>
      <c r="G53" s="74"/>
      <c r="H53" s="74"/>
      <c r="I53" s="74">
        <f t="shared" si="0"/>
        <v>0.33333333333333331</v>
      </c>
      <c r="J53" s="74"/>
      <c r="K53" s="74"/>
      <c r="L53" s="74"/>
      <c r="M53" s="100" t="s">
        <v>29</v>
      </c>
    </row>
    <row r="54" spans="3:13" ht="30" x14ac:dyDescent="0.25">
      <c r="C54" s="100" t="s">
        <v>32</v>
      </c>
      <c r="D54" s="74"/>
      <c r="E54" s="74"/>
      <c r="F54" s="74"/>
      <c r="G54" s="74"/>
      <c r="H54" s="74"/>
      <c r="I54" s="74">
        <f t="shared" si="0"/>
        <v>0.33333333333333331</v>
      </c>
      <c r="J54" s="74"/>
      <c r="K54" s="74"/>
      <c r="L54" s="74"/>
      <c r="M54" s="100" t="s">
        <v>30</v>
      </c>
    </row>
    <row r="55" spans="3:13" ht="30" x14ac:dyDescent="0.25">
      <c r="C55" s="100" t="s">
        <v>32</v>
      </c>
      <c r="D55" s="74"/>
      <c r="E55" s="74"/>
      <c r="F55" s="74"/>
      <c r="G55" s="74"/>
      <c r="H55" s="74"/>
      <c r="I55" s="74">
        <f t="shared" si="0"/>
        <v>0.33333333333333331</v>
      </c>
      <c r="J55" s="74"/>
      <c r="K55" s="74"/>
      <c r="L55" s="74"/>
      <c r="M55" s="100" t="s">
        <v>31</v>
      </c>
    </row>
    <row r="56" spans="3:13" ht="30" x14ac:dyDescent="0.25">
      <c r="C56" s="100" t="s">
        <v>32</v>
      </c>
      <c r="D56" s="74"/>
      <c r="E56" s="74"/>
      <c r="F56" s="74"/>
      <c r="G56" s="74"/>
      <c r="H56" s="74"/>
      <c r="I56" s="74">
        <f t="shared" si="0"/>
        <v>0.33333333333333331</v>
      </c>
      <c r="J56" s="74"/>
      <c r="K56" s="74"/>
      <c r="L56" s="74"/>
      <c r="M56" s="100" t="s">
        <v>34</v>
      </c>
    </row>
    <row r="57" spans="3:13" ht="30" x14ac:dyDescent="0.25">
      <c r="C57" s="100" t="s">
        <v>32</v>
      </c>
      <c r="D57" s="74"/>
      <c r="E57" s="74"/>
      <c r="F57" s="74"/>
      <c r="G57" s="74"/>
      <c r="H57" s="74"/>
      <c r="I57" s="74">
        <f t="shared" si="0"/>
        <v>0.33333333333333331</v>
      </c>
      <c r="J57" s="74"/>
      <c r="K57" s="74"/>
      <c r="L57" s="74"/>
      <c r="M57" s="100" t="s">
        <v>35</v>
      </c>
    </row>
    <row r="58" spans="3:13" ht="30" x14ac:dyDescent="0.25">
      <c r="C58" s="115" t="s">
        <v>32</v>
      </c>
      <c r="D58" s="114"/>
      <c r="E58" s="114"/>
      <c r="F58" s="114"/>
      <c r="G58" s="114"/>
      <c r="H58" s="114"/>
      <c r="I58" s="114"/>
      <c r="J58" s="114"/>
      <c r="K58" s="114"/>
      <c r="L58" s="114"/>
      <c r="M58" s="115" t="s">
        <v>39</v>
      </c>
    </row>
    <row r="59" spans="3:13" x14ac:dyDescent="0.25">
      <c r="C59" s="101"/>
      <c r="D59" s="75"/>
      <c r="E59" s="75"/>
      <c r="F59" s="75"/>
      <c r="G59" s="75"/>
      <c r="H59" s="75"/>
      <c r="I59" s="75"/>
      <c r="J59" s="75"/>
      <c r="K59" s="75"/>
      <c r="L59" s="75"/>
      <c r="M59" s="101"/>
    </row>
    <row r="60" spans="3:13" x14ac:dyDescent="0.25">
      <c r="C60" s="100" t="s">
        <v>34</v>
      </c>
      <c r="D60" s="74"/>
      <c r="E60" s="74"/>
      <c r="F60" s="74"/>
      <c r="G60" s="74"/>
      <c r="H60" s="74"/>
      <c r="I60" s="74">
        <f t="shared" ref="I60:I64" si="1">1/3</f>
        <v>0.33333333333333331</v>
      </c>
      <c r="J60" s="74"/>
      <c r="K60" s="74"/>
      <c r="L60" s="74"/>
      <c r="M60" s="100" t="s">
        <v>26</v>
      </c>
    </row>
    <row r="61" spans="3:13" ht="30" x14ac:dyDescent="0.25">
      <c r="C61" s="100" t="s">
        <v>34</v>
      </c>
      <c r="D61" s="74"/>
      <c r="E61" s="74"/>
      <c r="F61" s="74"/>
      <c r="G61" s="74"/>
      <c r="H61" s="74"/>
      <c r="I61" s="74">
        <f t="shared" si="1"/>
        <v>0.33333333333333331</v>
      </c>
      <c r="J61" s="74"/>
      <c r="K61" s="74"/>
      <c r="L61" s="74"/>
      <c r="M61" s="100" t="s">
        <v>27</v>
      </c>
    </row>
    <row r="62" spans="3:13" x14ac:dyDescent="0.25">
      <c r="C62" s="100" t="s">
        <v>34</v>
      </c>
      <c r="D62" s="74"/>
      <c r="E62" s="74"/>
      <c r="F62" s="74"/>
      <c r="G62" s="74"/>
      <c r="H62" s="74"/>
      <c r="I62" s="74">
        <f t="shared" si="1"/>
        <v>0.33333333333333331</v>
      </c>
      <c r="J62" s="74"/>
      <c r="K62" s="74"/>
      <c r="L62" s="74"/>
      <c r="M62" s="100" t="s">
        <v>29</v>
      </c>
    </row>
    <row r="63" spans="3:13" x14ac:dyDescent="0.25">
      <c r="C63" s="100" t="s">
        <v>34</v>
      </c>
      <c r="D63" s="74"/>
      <c r="E63" s="74"/>
      <c r="F63" s="74"/>
      <c r="G63" s="74"/>
      <c r="H63" s="74"/>
      <c r="I63" s="74">
        <f t="shared" si="1"/>
        <v>0.33333333333333331</v>
      </c>
      <c r="J63" s="74"/>
      <c r="K63" s="74"/>
      <c r="L63" s="74"/>
      <c r="M63" s="100" t="s">
        <v>30</v>
      </c>
    </row>
    <row r="64" spans="3:13" x14ac:dyDescent="0.25">
      <c r="C64" s="100" t="s">
        <v>34</v>
      </c>
      <c r="D64" s="74"/>
      <c r="E64" s="74"/>
      <c r="F64" s="74"/>
      <c r="G64" s="74"/>
      <c r="H64" s="74"/>
      <c r="I64" s="74">
        <f t="shared" si="1"/>
        <v>0.33333333333333331</v>
      </c>
      <c r="J64" s="74"/>
      <c r="K64" s="74"/>
      <c r="L64" s="74"/>
      <c r="M64" s="100" t="s">
        <v>31</v>
      </c>
    </row>
    <row r="65" spans="3:13" ht="30" x14ac:dyDescent="0.25">
      <c r="C65" s="100" t="s">
        <v>34</v>
      </c>
      <c r="D65" s="74"/>
      <c r="E65" s="74"/>
      <c r="F65" s="74"/>
      <c r="G65" s="74">
        <v>3</v>
      </c>
      <c r="H65" s="74"/>
      <c r="I65" s="74"/>
      <c r="J65" s="74"/>
      <c r="K65" s="74"/>
      <c r="L65" s="74"/>
      <c r="M65" s="100" t="s">
        <v>32</v>
      </c>
    </row>
    <row r="66" spans="3:13" x14ac:dyDescent="0.25">
      <c r="C66" s="100" t="s">
        <v>34</v>
      </c>
      <c r="D66" s="74"/>
      <c r="E66" s="74"/>
      <c r="F66" s="74"/>
      <c r="G66" s="74"/>
      <c r="H66" s="74">
        <v>1</v>
      </c>
      <c r="I66" s="74"/>
      <c r="J66" s="74"/>
      <c r="K66" s="74"/>
      <c r="L66" s="74"/>
      <c r="M66" s="100" t="s">
        <v>35</v>
      </c>
    </row>
    <row r="67" spans="3:13" ht="30" x14ac:dyDescent="0.25">
      <c r="C67" s="115" t="s">
        <v>34</v>
      </c>
      <c r="D67" s="114"/>
      <c r="E67" s="114"/>
      <c r="F67" s="114"/>
      <c r="G67" s="114"/>
      <c r="H67" s="114"/>
      <c r="I67" s="114"/>
      <c r="J67" s="114"/>
      <c r="K67" s="114"/>
      <c r="L67" s="114"/>
      <c r="M67" s="115" t="s">
        <v>39</v>
      </c>
    </row>
    <row r="68" spans="3:13" x14ac:dyDescent="0.25">
      <c r="C68" s="101"/>
      <c r="D68" s="75"/>
      <c r="E68" s="75"/>
      <c r="F68" s="75"/>
      <c r="G68" s="75"/>
      <c r="H68" s="75"/>
      <c r="I68" s="75"/>
      <c r="J68" s="75"/>
      <c r="K68" s="75"/>
      <c r="L68" s="75"/>
      <c r="M68" s="101"/>
    </row>
    <row r="69" spans="3:13" x14ac:dyDescent="0.25">
      <c r="C69" s="100" t="s">
        <v>35</v>
      </c>
      <c r="D69" s="74"/>
      <c r="E69" s="74"/>
      <c r="F69" s="74"/>
      <c r="G69" s="74"/>
      <c r="H69" s="74">
        <v>1</v>
      </c>
      <c r="I69" s="74"/>
      <c r="J69" s="74"/>
      <c r="K69" s="74"/>
      <c r="L69" s="74"/>
      <c r="M69" s="100" t="s">
        <v>26</v>
      </c>
    </row>
    <row r="70" spans="3:13" ht="30" x14ac:dyDescent="0.25">
      <c r="C70" s="100" t="s">
        <v>35</v>
      </c>
      <c r="D70" s="74"/>
      <c r="E70" s="74"/>
      <c r="F70" s="74"/>
      <c r="G70" s="74"/>
      <c r="H70" s="74"/>
      <c r="I70" s="74"/>
      <c r="J70" s="74">
        <f>1/5</f>
        <v>0.2</v>
      </c>
      <c r="K70" s="74"/>
      <c r="L70" s="74"/>
      <c r="M70" s="100" t="s">
        <v>27</v>
      </c>
    </row>
    <row r="71" spans="3:13" x14ac:dyDescent="0.25">
      <c r="C71" s="100" t="s">
        <v>35</v>
      </c>
      <c r="D71" s="74"/>
      <c r="E71" s="74"/>
      <c r="F71" s="74"/>
      <c r="G71" s="74"/>
      <c r="H71" s="74"/>
      <c r="I71" s="74">
        <f t="shared" ref="I71:I73" si="2">1/3</f>
        <v>0.33333333333333331</v>
      </c>
      <c r="J71" s="74"/>
      <c r="K71" s="74"/>
      <c r="L71" s="74"/>
      <c r="M71" s="100" t="s">
        <v>29</v>
      </c>
    </row>
    <row r="72" spans="3:13" x14ac:dyDescent="0.25">
      <c r="C72" s="100" t="s">
        <v>35</v>
      </c>
      <c r="D72" s="74"/>
      <c r="E72" s="74"/>
      <c r="F72" s="74"/>
      <c r="G72" s="74"/>
      <c r="H72" s="74"/>
      <c r="I72" s="74">
        <f t="shared" si="2"/>
        <v>0.33333333333333331</v>
      </c>
      <c r="J72" s="74"/>
      <c r="K72" s="74"/>
      <c r="L72" s="74"/>
      <c r="M72" s="100" t="s">
        <v>30</v>
      </c>
    </row>
    <row r="73" spans="3:13" x14ac:dyDescent="0.25">
      <c r="C73" s="100" t="s">
        <v>35</v>
      </c>
      <c r="D73" s="74"/>
      <c r="E73" s="74"/>
      <c r="F73" s="74"/>
      <c r="G73" s="74"/>
      <c r="H73" s="74"/>
      <c r="I73" s="74">
        <f t="shared" si="2"/>
        <v>0.33333333333333331</v>
      </c>
      <c r="J73" s="74"/>
      <c r="K73" s="74"/>
      <c r="L73" s="74"/>
      <c r="M73" s="100" t="s">
        <v>31</v>
      </c>
    </row>
    <row r="74" spans="3:13" ht="30" x14ac:dyDescent="0.25">
      <c r="C74" s="100" t="s">
        <v>35</v>
      </c>
      <c r="D74" s="74"/>
      <c r="E74" s="74"/>
      <c r="F74" s="74"/>
      <c r="G74" s="74">
        <v>3</v>
      </c>
      <c r="H74" s="74"/>
      <c r="I74" s="74"/>
      <c r="J74" s="74"/>
      <c r="K74" s="74"/>
      <c r="L74" s="74"/>
      <c r="M74" s="100" t="s">
        <v>32</v>
      </c>
    </row>
    <row r="75" spans="3:13" x14ac:dyDescent="0.25">
      <c r="C75" s="100" t="s">
        <v>35</v>
      </c>
      <c r="D75" s="74"/>
      <c r="E75" s="74"/>
      <c r="F75" s="74"/>
      <c r="G75" s="74"/>
      <c r="H75" s="74">
        <v>1</v>
      </c>
      <c r="I75" s="74"/>
      <c r="J75" s="74"/>
      <c r="K75" s="74"/>
      <c r="L75" s="74"/>
      <c r="M75" s="100" t="s">
        <v>34</v>
      </c>
    </row>
    <row r="76" spans="3:13" ht="30" x14ac:dyDescent="0.25">
      <c r="C76" s="115" t="s">
        <v>35</v>
      </c>
      <c r="D76" s="114"/>
      <c r="E76" s="114"/>
      <c r="F76" s="114"/>
      <c r="G76" s="114"/>
      <c r="H76" s="114"/>
      <c r="I76" s="114"/>
      <c r="J76" s="114"/>
      <c r="K76" s="114"/>
      <c r="L76" s="114"/>
      <c r="M76" s="115" t="s">
        <v>39</v>
      </c>
    </row>
    <row r="77" spans="3:13" x14ac:dyDescent="0.25">
      <c r="C77" s="101"/>
      <c r="D77" s="75"/>
      <c r="E77" s="75"/>
      <c r="F77" s="75"/>
      <c r="G77" s="75"/>
      <c r="H77" s="75"/>
      <c r="I77" s="75"/>
      <c r="J77" s="75"/>
      <c r="K77" s="75"/>
      <c r="L77" s="75"/>
      <c r="M77" s="101"/>
    </row>
    <row r="78" spans="3:13" ht="30" x14ac:dyDescent="0.25">
      <c r="C78" s="115" t="s">
        <v>39</v>
      </c>
      <c r="D78" s="114"/>
      <c r="E78" s="114"/>
      <c r="F78" s="114"/>
      <c r="G78" s="114"/>
      <c r="H78" s="114"/>
      <c r="I78" s="114"/>
      <c r="J78" s="114"/>
      <c r="K78" s="114"/>
      <c r="L78" s="114"/>
      <c r="M78" s="115" t="s">
        <v>26</v>
      </c>
    </row>
    <row r="79" spans="3:13" ht="30" x14ac:dyDescent="0.25">
      <c r="C79" s="115" t="s">
        <v>39</v>
      </c>
      <c r="D79" s="114"/>
      <c r="E79" s="114"/>
      <c r="F79" s="114"/>
      <c r="G79" s="114"/>
      <c r="H79" s="114"/>
      <c r="I79" s="114"/>
      <c r="J79" s="114"/>
      <c r="K79" s="114"/>
      <c r="L79" s="114"/>
      <c r="M79" s="115" t="s">
        <v>27</v>
      </c>
    </row>
    <row r="80" spans="3:13" ht="30" x14ac:dyDescent="0.25">
      <c r="C80" s="115" t="s">
        <v>39</v>
      </c>
      <c r="D80" s="114"/>
      <c r="E80" s="114"/>
      <c r="F80" s="114"/>
      <c r="G80" s="114"/>
      <c r="H80" s="114"/>
      <c r="I80" s="114"/>
      <c r="J80" s="114"/>
      <c r="K80" s="114"/>
      <c r="L80" s="114"/>
      <c r="M80" s="115" t="s">
        <v>29</v>
      </c>
    </row>
    <row r="81" spans="3:13" ht="30" x14ac:dyDescent="0.25">
      <c r="C81" s="115" t="s">
        <v>39</v>
      </c>
      <c r="D81" s="114"/>
      <c r="E81" s="114"/>
      <c r="F81" s="114"/>
      <c r="G81" s="114"/>
      <c r="H81" s="114"/>
      <c r="I81" s="114"/>
      <c r="J81" s="114"/>
      <c r="K81" s="114"/>
      <c r="L81" s="114"/>
      <c r="M81" s="115" t="s">
        <v>30</v>
      </c>
    </row>
    <row r="82" spans="3:13" ht="30" x14ac:dyDescent="0.25">
      <c r="C82" s="115" t="s">
        <v>39</v>
      </c>
      <c r="D82" s="114"/>
      <c r="E82" s="114"/>
      <c r="F82" s="114"/>
      <c r="G82" s="114"/>
      <c r="H82" s="114"/>
      <c r="I82" s="114"/>
      <c r="J82" s="114"/>
      <c r="K82" s="114"/>
      <c r="L82" s="114"/>
      <c r="M82" s="115" t="s">
        <v>31</v>
      </c>
    </row>
    <row r="83" spans="3:13" ht="30" x14ac:dyDescent="0.25">
      <c r="C83" s="115" t="s">
        <v>39</v>
      </c>
      <c r="D83" s="114"/>
      <c r="E83" s="114"/>
      <c r="F83" s="114"/>
      <c r="G83" s="114"/>
      <c r="H83" s="114"/>
      <c r="I83" s="114"/>
      <c r="J83" s="114"/>
      <c r="K83" s="114"/>
      <c r="L83" s="114"/>
      <c r="M83" s="115" t="s">
        <v>32</v>
      </c>
    </row>
    <row r="84" spans="3:13" ht="30" x14ac:dyDescent="0.25">
      <c r="C84" s="115" t="s">
        <v>39</v>
      </c>
      <c r="D84" s="114"/>
      <c r="E84" s="114"/>
      <c r="F84" s="114"/>
      <c r="G84" s="114"/>
      <c r="H84" s="114"/>
      <c r="I84" s="114"/>
      <c r="J84" s="114"/>
      <c r="K84" s="114"/>
      <c r="L84" s="114"/>
      <c r="M84" s="115" t="s">
        <v>34</v>
      </c>
    </row>
    <row r="85" spans="3:13" ht="30" x14ac:dyDescent="0.25">
      <c r="C85" s="115" t="s">
        <v>39</v>
      </c>
      <c r="D85" s="114"/>
      <c r="E85" s="114"/>
      <c r="F85" s="114"/>
      <c r="G85" s="114"/>
      <c r="H85" s="114"/>
      <c r="I85" s="114"/>
      <c r="J85" s="114"/>
      <c r="K85" s="114"/>
      <c r="L85" s="114"/>
      <c r="M85" s="115" t="s">
        <v>35</v>
      </c>
    </row>
  </sheetData>
  <mergeCells count="1">
    <mergeCell ref="D3:L3"/>
  </mergeCells>
  <pageMargins left="0.7" right="0.7" top="0.75" bottom="0.75" header="0.3" footer="0.3"/>
  <pageSetup paperSize="9" scale="65" orientation="landscape" r:id="rId1"/>
  <rowBreaks count="2" manualBreakCount="2">
    <brk id="32" max="16383" man="1"/>
    <brk id="59" max="16383" man="1"/>
  </rowBreaks>
  <colBreaks count="2" manualBreakCount="2">
    <brk id="2" max="84" man="1"/>
    <brk id="13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72"/>
  <sheetViews>
    <sheetView topLeftCell="C232" zoomScale="85" zoomScaleNormal="85" workbookViewId="0">
      <selection activeCell="E198" sqref="E198"/>
    </sheetView>
  </sheetViews>
  <sheetFormatPr defaultRowHeight="15" x14ac:dyDescent="0.25"/>
  <cols>
    <col min="2" max="2" width="16.7109375" customWidth="1"/>
    <col min="3" max="3" width="47.28515625" customWidth="1"/>
    <col min="4" max="4" width="19" customWidth="1"/>
    <col min="5" max="5" width="19" bestFit="1" customWidth="1"/>
    <col min="6" max="6" width="19.42578125" customWidth="1"/>
    <col min="7" max="7" width="17" customWidth="1"/>
    <col min="8" max="8" width="14.42578125" style="77" customWidth="1"/>
    <col min="9" max="9" width="15.5703125" customWidth="1"/>
    <col min="10" max="10" width="18.140625" customWidth="1"/>
    <col min="11" max="11" width="12" customWidth="1"/>
    <col min="12" max="12" width="15.42578125" customWidth="1"/>
  </cols>
  <sheetData>
    <row r="2" spans="2:13" x14ac:dyDescent="0.25">
      <c r="C2" s="180" t="s">
        <v>0</v>
      </c>
    </row>
    <row r="3" spans="2:13" x14ac:dyDescent="0.25">
      <c r="C3" s="61" t="s">
        <v>92</v>
      </c>
      <c r="D3" s="176">
        <v>2016</v>
      </c>
      <c r="E3" s="176">
        <v>2015</v>
      </c>
      <c r="F3" s="176">
        <v>2014</v>
      </c>
      <c r="H3" s="66" t="s">
        <v>161</v>
      </c>
      <c r="I3" s="262" t="s">
        <v>162</v>
      </c>
      <c r="J3" s="66" t="s">
        <v>160</v>
      </c>
      <c r="K3" t="s">
        <v>190</v>
      </c>
      <c r="L3" s="258" t="s">
        <v>159</v>
      </c>
      <c r="M3" s="73" t="s">
        <v>78</v>
      </c>
    </row>
    <row r="4" spans="2:13" x14ac:dyDescent="0.25">
      <c r="B4" s="259">
        <v>2</v>
      </c>
      <c r="C4" s="192" t="s">
        <v>112</v>
      </c>
      <c r="D4" s="177">
        <v>0.12740000000000001</v>
      </c>
      <c r="E4" s="175">
        <v>0.1236</v>
      </c>
      <c r="F4" s="175">
        <v>0.1391</v>
      </c>
      <c r="G4" s="292" t="s">
        <v>183</v>
      </c>
      <c r="H4" s="175">
        <f>(E4-F4)</f>
        <v>-1.55E-2</v>
      </c>
      <c r="I4" s="260">
        <f>(D4-E4)</f>
        <v>3.8000000000000117E-3</v>
      </c>
      <c r="J4" s="263">
        <f>AVERAGE(H4:I4)</f>
        <v>-5.8499999999999941E-3</v>
      </c>
      <c r="K4" s="187">
        <f>60%*I4+40%*H4</f>
        <v>-3.9199999999999938E-3</v>
      </c>
      <c r="L4" s="258">
        <v>1</v>
      </c>
      <c r="M4" s="257" t="s">
        <v>26</v>
      </c>
    </row>
    <row r="5" spans="2:13" x14ac:dyDescent="0.25">
      <c r="C5" s="192" t="s">
        <v>99</v>
      </c>
      <c r="D5" s="177">
        <v>3.3399999999999999E-2</v>
      </c>
      <c r="E5" s="175">
        <v>3.8699999999999998E-2</v>
      </c>
      <c r="F5" s="175">
        <v>5.8599999999999999E-2</v>
      </c>
      <c r="G5" s="292"/>
      <c r="H5"/>
      <c r="I5" s="77"/>
      <c r="J5" s="264"/>
      <c r="L5" s="258">
        <v>2</v>
      </c>
      <c r="M5" s="257" t="s">
        <v>27</v>
      </c>
    </row>
    <row r="6" spans="2:13" x14ac:dyDescent="0.25">
      <c r="B6" s="259">
        <v>7</v>
      </c>
      <c r="C6" s="192" t="s">
        <v>113</v>
      </c>
      <c r="D6" s="177">
        <v>3.8300000000000001E-2</v>
      </c>
      <c r="E6" s="175">
        <v>6.54E-2</v>
      </c>
      <c r="F6" s="175">
        <v>5.4600000000000003E-2</v>
      </c>
      <c r="G6" s="292" t="s">
        <v>188</v>
      </c>
      <c r="H6" s="175">
        <f>(E6-F6)</f>
        <v>1.0799999999999997E-2</v>
      </c>
      <c r="I6" s="260">
        <f>(D6-E6)</f>
        <v>-2.7099999999999999E-2</v>
      </c>
      <c r="J6" s="263">
        <f>AVERAGE(H6:I6)</f>
        <v>-8.150000000000001E-3</v>
      </c>
      <c r="K6" s="187">
        <f>60%*I6+40%*H6</f>
        <v>-1.1940000000000001E-2</v>
      </c>
      <c r="L6" s="258">
        <v>3</v>
      </c>
      <c r="M6" s="257" t="s">
        <v>29</v>
      </c>
    </row>
    <row r="7" spans="2:13" x14ac:dyDescent="0.25">
      <c r="C7" s="192" t="s">
        <v>103</v>
      </c>
      <c r="D7" s="177">
        <v>4.2700000000000002E-2</v>
      </c>
      <c r="E7" s="175">
        <v>2.7699999999999999E-2</v>
      </c>
      <c r="F7" s="175">
        <v>2.5000000000000001E-2</v>
      </c>
      <c r="G7" s="292"/>
      <c r="H7"/>
      <c r="I7" s="77"/>
      <c r="J7" s="264"/>
      <c r="L7" s="258">
        <v>4</v>
      </c>
      <c r="M7" s="257" t="s">
        <v>30</v>
      </c>
    </row>
    <row r="8" spans="2:13" x14ac:dyDescent="0.25">
      <c r="B8" s="259">
        <v>8</v>
      </c>
      <c r="C8" s="192" t="s">
        <v>11</v>
      </c>
      <c r="D8" s="177">
        <v>3.8300000000000001E-2</v>
      </c>
      <c r="E8" s="177">
        <v>7.1099999999999997E-2</v>
      </c>
      <c r="F8" s="177">
        <v>6.5500000000000003E-2</v>
      </c>
      <c r="G8" s="292" t="s">
        <v>189</v>
      </c>
      <c r="H8" s="175">
        <f>(E8-F8)</f>
        <v>5.5999999999999939E-3</v>
      </c>
      <c r="I8" s="260">
        <f>(D8-E8)</f>
        <v>-3.2799999999999996E-2</v>
      </c>
      <c r="J8" s="263">
        <f>AVERAGE(H8:I8)</f>
        <v>-1.3600000000000001E-2</v>
      </c>
      <c r="K8" s="187">
        <f>60%*I8+40%*H8</f>
        <v>-1.7439999999999997E-2</v>
      </c>
      <c r="L8" s="258">
        <v>5</v>
      </c>
      <c r="M8" s="257" t="s">
        <v>31</v>
      </c>
    </row>
    <row r="9" spans="2:13" x14ac:dyDescent="0.25">
      <c r="C9" s="192" t="s">
        <v>97</v>
      </c>
      <c r="D9" s="177">
        <v>1.4E-2</v>
      </c>
      <c r="E9" s="177">
        <v>4.2000000000000003E-2</v>
      </c>
      <c r="F9" s="177">
        <v>4.8500000000000001E-2</v>
      </c>
      <c r="G9" s="292"/>
      <c r="H9"/>
      <c r="I9" s="77"/>
      <c r="J9" s="264"/>
      <c r="L9" s="258">
        <v>6</v>
      </c>
      <c r="M9" s="257" t="s">
        <v>32</v>
      </c>
    </row>
    <row r="10" spans="2:13" x14ac:dyDescent="0.25">
      <c r="B10" s="259">
        <v>3</v>
      </c>
      <c r="C10" s="192" t="s">
        <v>111</v>
      </c>
      <c r="D10" s="177">
        <v>2.2000000000000001E-3</v>
      </c>
      <c r="E10" s="177">
        <v>2E-3</v>
      </c>
      <c r="F10" s="177">
        <v>1.6999999999999999E-3</v>
      </c>
      <c r="G10" s="292" t="s">
        <v>184</v>
      </c>
      <c r="H10" s="175">
        <f>(E10-F10)</f>
        <v>3.0000000000000014E-4</v>
      </c>
      <c r="I10" s="260">
        <f>(D10-E10)</f>
        <v>2.0000000000000009E-4</v>
      </c>
      <c r="J10" s="263">
        <f>AVERAGE(H10:I10)</f>
        <v>2.5000000000000011E-4</v>
      </c>
      <c r="K10" s="187">
        <f>60%*I10+40%*H10</f>
        <v>2.4000000000000009E-4</v>
      </c>
      <c r="L10" s="258">
        <v>7</v>
      </c>
      <c r="M10" s="257" t="s">
        <v>34</v>
      </c>
    </row>
    <row r="11" spans="2:13" x14ac:dyDescent="0.25">
      <c r="B11" s="259">
        <v>4</v>
      </c>
      <c r="C11" s="192" t="s">
        <v>107</v>
      </c>
      <c r="D11" s="177">
        <v>0.03</v>
      </c>
      <c r="E11" s="177">
        <v>2.7799999999999998E-2</v>
      </c>
      <c r="F11" s="177">
        <v>2.1999999999999999E-2</v>
      </c>
      <c r="G11" s="292" t="s">
        <v>185</v>
      </c>
      <c r="H11" s="175">
        <f>(E11-F11)</f>
        <v>5.7999999999999996E-3</v>
      </c>
      <c r="I11" s="260">
        <f>(D11-E11)</f>
        <v>2.2000000000000006E-3</v>
      </c>
      <c r="J11" s="263">
        <f>AVERAGE(H11:I11)</f>
        <v>4.0000000000000001E-3</v>
      </c>
      <c r="K11" s="187">
        <f>60%*I11+40%*H11</f>
        <v>3.64E-3</v>
      </c>
      <c r="L11" s="258">
        <v>8</v>
      </c>
      <c r="M11" s="257" t="s">
        <v>35</v>
      </c>
    </row>
    <row r="12" spans="2:13" x14ac:dyDescent="0.25">
      <c r="B12" s="259">
        <v>5</v>
      </c>
      <c r="C12" s="192" t="s">
        <v>108</v>
      </c>
      <c r="D12" s="177">
        <v>3.4700000000000002E-2</v>
      </c>
      <c r="E12" s="175">
        <v>4.0899999999999999E-2</v>
      </c>
      <c r="F12" s="175">
        <v>3.4000000000000002E-2</v>
      </c>
      <c r="G12" s="292" t="s">
        <v>186</v>
      </c>
      <c r="H12" s="175">
        <f>(E12-F12)</f>
        <v>6.8999999999999964E-3</v>
      </c>
      <c r="I12" s="260">
        <f>(D12-E12)</f>
        <v>-6.1999999999999972E-3</v>
      </c>
      <c r="J12" s="263">
        <f>AVERAGE(H12:I12)</f>
        <v>3.4999999999999962E-4</v>
      </c>
      <c r="K12" s="187">
        <f>60%*I12+40%*H12</f>
        <v>-9.5999999999999948E-4</v>
      </c>
    </row>
    <row r="13" spans="2:13" x14ac:dyDescent="0.25">
      <c r="C13" s="192" t="s">
        <v>100</v>
      </c>
      <c r="D13" s="177">
        <v>0.1</v>
      </c>
      <c r="E13" s="175">
        <v>2.7000000000000001E-3</v>
      </c>
      <c r="F13" s="175">
        <v>3.4500000000000003E-2</v>
      </c>
      <c r="G13" s="292"/>
      <c r="H13"/>
      <c r="I13" s="77"/>
      <c r="J13" s="264"/>
    </row>
    <row r="14" spans="2:13" x14ac:dyDescent="0.25">
      <c r="B14" s="259">
        <v>6</v>
      </c>
      <c r="C14" s="65" t="s">
        <v>109</v>
      </c>
      <c r="D14" s="177">
        <v>0.97760000000000002</v>
      </c>
      <c r="E14" s="175">
        <v>0.97409999999999997</v>
      </c>
      <c r="F14" s="175">
        <v>0.64810000000000001</v>
      </c>
      <c r="G14" s="292" t="s">
        <v>187</v>
      </c>
      <c r="H14" s="175">
        <f>(E14-F14)</f>
        <v>0.32599999999999996</v>
      </c>
      <c r="I14" s="260">
        <f>(D14-E14)</f>
        <v>3.5000000000000586E-3</v>
      </c>
      <c r="J14" s="263">
        <f>AVERAGE(H14:I14)</f>
        <v>0.16475000000000001</v>
      </c>
      <c r="K14" s="187">
        <f>60%*I14+40%*H14</f>
        <v>0.13250000000000003</v>
      </c>
    </row>
    <row r="15" spans="2:13" x14ac:dyDescent="0.25">
      <c r="C15" s="65" t="s">
        <v>110</v>
      </c>
      <c r="D15" s="177">
        <v>0.55059999999999998</v>
      </c>
      <c r="E15" s="175">
        <v>0.53939999999999999</v>
      </c>
      <c r="F15" s="175">
        <v>0.5121</v>
      </c>
      <c r="G15" s="292"/>
      <c r="H15"/>
      <c r="I15" s="77"/>
      <c r="J15" s="264"/>
    </row>
    <row r="16" spans="2:13" x14ac:dyDescent="0.25">
      <c r="C16" s="65" t="s">
        <v>101</v>
      </c>
      <c r="D16" s="177">
        <v>0.9647</v>
      </c>
      <c r="E16" s="175">
        <v>0.90300000000000002</v>
      </c>
      <c r="F16" s="175">
        <v>0.84140000000000004</v>
      </c>
      <c r="G16" s="292"/>
      <c r="H16"/>
      <c r="I16" s="77"/>
      <c r="J16" s="264"/>
    </row>
    <row r="17" spans="2:11" x14ac:dyDescent="0.25">
      <c r="B17" s="259">
        <v>1</v>
      </c>
      <c r="C17" s="79" t="s">
        <v>95</v>
      </c>
      <c r="D17" s="179">
        <f>3618746556*1000</f>
        <v>3618746556000</v>
      </c>
      <c r="E17" s="179">
        <f>3518592629*1000</f>
        <v>3518592629000</v>
      </c>
      <c r="F17" s="179">
        <f>3896440258*1000</f>
        <v>3896440258000</v>
      </c>
      <c r="G17" s="292" t="s">
        <v>182</v>
      </c>
      <c r="H17" s="175">
        <f>(E17-F17)/F17</f>
        <v>-9.6972519525795331E-2</v>
      </c>
      <c r="I17" s="260">
        <f>(D17-E17)/E17</f>
        <v>2.8464200764401704E-2</v>
      </c>
      <c r="J17" s="265">
        <f>AVERAGE(H17:I17)</f>
        <v>-3.4254159380696814E-2</v>
      </c>
      <c r="K17" s="187">
        <f>60%*I17+40%*H17</f>
        <v>-2.1710487351677112E-2</v>
      </c>
    </row>
    <row r="18" spans="2:11" x14ac:dyDescent="0.25">
      <c r="C18" s="79"/>
      <c r="D18" s="177"/>
      <c r="E18" s="177"/>
      <c r="F18" s="177"/>
      <c r="H18"/>
      <c r="I18" s="77"/>
    </row>
    <row r="19" spans="2:11" x14ac:dyDescent="0.25">
      <c r="C19" s="181" t="s">
        <v>93</v>
      </c>
      <c r="H19"/>
      <c r="I19" s="77"/>
    </row>
    <row r="20" spans="2:11" x14ac:dyDescent="0.25">
      <c r="C20" s="61" t="s">
        <v>92</v>
      </c>
      <c r="D20" s="176">
        <v>2016</v>
      </c>
      <c r="E20" s="176">
        <v>2015</v>
      </c>
      <c r="F20" s="176">
        <v>2014</v>
      </c>
      <c r="H20" s="66" t="s">
        <v>161</v>
      </c>
      <c r="I20" s="262" t="s">
        <v>162</v>
      </c>
      <c r="J20" s="66" t="s">
        <v>160</v>
      </c>
    </row>
    <row r="21" spans="2:11" s="65" customFormat="1" x14ac:dyDescent="0.25">
      <c r="B21" s="259">
        <v>2</v>
      </c>
      <c r="C21" s="192" t="s">
        <v>112</v>
      </c>
      <c r="D21" s="175">
        <v>0.1401</v>
      </c>
      <c r="E21" s="175">
        <v>0.1285</v>
      </c>
      <c r="F21" s="175">
        <v>0.14119999999999999</v>
      </c>
      <c r="G21" s="292" t="s">
        <v>183</v>
      </c>
      <c r="H21" s="175">
        <f>(E21-F21)</f>
        <v>-1.2699999999999989E-2</v>
      </c>
      <c r="I21" s="260">
        <f>(D21-E21)</f>
        <v>1.1599999999999999E-2</v>
      </c>
      <c r="J21" s="263">
        <f>AVERAGE(H21:I21)</f>
        <v>-5.4999999999999494E-4</v>
      </c>
      <c r="K21" s="187">
        <f>60%*I21+40%*H21</f>
        <v>1.8800000000000032E-3</v>
      </c>
    </row>
    <row r="22" spans="2:11" s="65" customFormat="1" x14ac:dyDescent="0.25">
      <c r="B22"/>
      <c r="C22" s="192" t="s">
        <v>99</v>
      </c>
      <c r="D22" s="175">
        <v>0.04</v>
      </c>
      <c r="E22" s="175">
        <v>5.28E-2</v>
      </c>
      <c r="F22" s="175">
        <v>5.6599999999999998E-2</v>
      </c>
      <c r="G22" s="292"/>
      <c r="H22"/>
      <c r="I22" s="77"/>
      <c r="J22" s="264"/>
      <c r="K22"/>
    </row>
    <row r="23" spans="2:11" s="65" customFormat="1" x14ac:dyDescent="0.25">
      <c r="B23" s="259">
        <v>7</v>
      </c>
      <c r="C23" s="192" t="s">
        <v>113</v>
      </c>
      <c r="D23" s="175">
        <v>4.0300000000000002E-2</v>
      </c>
      <c r="E23" s="175">
        <v>5.0799999999999998E-2</v>
      </c>
      <c r="F23" s="175">
        <v>5.6800000000000003E-2</v>
      </c>
      <c r="G23" s="292" t="s">
        <v>188</v>
      </c>
      <c r="H23" s="175">
        <f>(E23-F23)</f>
        <v>-6.0000000000000053E-3</v>
      </c>
      <c r="I23" s="260">
        <f>(D23-E23)</f>
        <v>-1.0499999999999995E-2</v>
      </c>
      <c r="J23" s="263">
        <f>AVERAGE(H23:I23)</f>
        <v>-8.2500000000000004E-3</v>
      </c>
      <c r="K23" s="187">
        <f>60%*I23+40%*H23</f>
        <v>-8.6999999999999994E-3</v>
      </c>
    </row>
    <row r="24" spans="2:11" s="65" customFormat="1" x14ac:dyDescent="0.25">
      <c r="B24"/>
      <c r="C24" s="192" t="s">
        <v>103</v>
      </c>
      <c r="D24" s="175">
        <v>2.76E-2</v>
      </c>
      <c r="E24" s="175">
        <v>3.1199999999999999E-2</v>
      </c>
      <c r="F24" s="175">
        <v>3.0599999999999999E-2</v>
      </c>
      <c r="G24" s="292"/>
      <c r="H24"/>
      <c r="I24" s="77"/>
      <c r="J24" s="264"/>
      <c r="K24"/>
    </row>
    <row r="25" spans="2:11" s="65" customFormat="1" x14ac:dyDescent="0.25">
      <c r="B25" s="259">
        <v>8</v>
      </c>
      <c r="C25" s="192" t="s">
        <v>11</v>
      </c>
      <c r="D25" s="175">
        <v>4.9200000000000001E-2</v>
      </c>
      <c r="E25" s="175">
        <v>6.0600000000000001E-2</v>
      </c>
      <c r="F25" s="175">
        <v>6.8400000000000002E-2</v>
      </c>
      <c r="G25" s="292" t="s">
        <v>189</v>
      </c>
      <c r="H25" s="175">
        <f>(E25-F25)</f>
        <v>-7.8000000000000014E-3</v>
      </c>
      <c r="I25" s="260">
        <f>(D25-E25)</f>
        <v>-1.14E-2</v>
      </c>
      <c r="J25" s="263">
        <f>AVERAGE(H25:I25)</f>
        <v>-9.6000000000000009E-3</v>
      </c>
      <c r="K25" s="187">
        <f>60%*I25+40%*H25</f>
        <v>-9.9600000000000001E-3</v>
      </c>
    </row>
    <row r="26" spans="2:11" s="65" customFormat="1" x14ac:dyDescent="0.25">
      <c r="B26"/>
      <c r="C26" s="192" t="s">
        <v>97</v>
      </c>
      <c r="D26" s="175">
        <v>3.1300000000000001E-2</v>
      </c>
      <c r="E26" s="175">
        <v>4.0500000000000001E-2</v>
      </c>
      <c r="F26" s="175">
        <v>4.2900000000000001E-2</v>
      </c>
      <c r="G26" s="292"/>
      <c r="H26"/>
      <c r="I26" s="77"/>
      <c r="J26" s="264"/>
      <c r="K26"/>
    </row>
    <row r="27" spans="2:11" s="65" customFormat="1" x14ac:dyDescent="0.25">
      <c r="B27" s="259">
        <v>3</v>
      </c>
      <c r="C27" s="192" t="s">
        <v>111</v>
      </c>
      <c r="D27" s="175">
        <v>5.8999999999999999E-3</v>
      </c>
      <c r="E27" s="175">
        <v>5.5999999999999999E-3</v>
      </c>
      <c r="F27" s="175">
        <v>-4.0000000000000002E-4</v>
      </c>
      <c r="G27" s="292" t="s">
        <v>184</v>
      </c>
      <c r="H27" s="175">
        <f>(E27-F27)</f>
        <v>6.0000000000000001E-3</v>
      </c>
      <c r="I27" s="260">
        <f>(D27-E27)</f>
        <v>2.9999999999999992E-4</v>
      </c>
      <c r="J27" s="263">
        <f>AVERAGE(H27:I27)</f>
        <v>3.15E-3</v>
      </c>
      <c r="K27" s="187">
        <f>60%*I27+40%*H27</f>
        <v>2.5800000000000003E-3</v>
      </c>
    </row>
    <row r="28" spans="2:11" x14ac:dyDescent="0.25">
      <c r="B28" s="259">
        <v>4</v>
      </c>
      <c r="C28" s="192" t="s">
        <v>107</v>
      </c>
      <c r="D28" s="175">
        <v>5.8099999999999999E-2</v>
      </c>
      <c r="E28" s="175">
        <v>5.9200000000000003E-2</v>
      </c>
      <c r="F28" s="175">
        <v>-9.4000000000000004E-3</v>
      </c>
      <c r="G28" s="292" t="s">
        <v>185</v>
      </c>
      <c r="H28" s="175">
        <f>(E28-F28)</f>
        <v>6.8600000000000008E-2</v>
      </c>
      <c r="I28" s="260">
        <f>(D28-E28)</f>
        <v>-1.1000000000000038E-3</v>
      </c>
      <c r="J28" s="263">
        <f>AVERAGE(H28:I28)</f>
        <v>3.3750000000000002E-2</v>
      </c>
      <c r="K28" s="187">
        <f>60%*I28+40%*H28</f>
        <v>2.6780000000000005E-2</v>
      </c>
    </row>
    <row r="29" spans="2:11" x14ac:dyDescent="0.25">
      <c r="B29" s="259">
        <v>5</v>
      </c>
      <c r="C29" s="192" t="s">
        <v>108</v>
      </c>
      <c r="D29" s="175">
        <v>6.1600000000000002E-2</v>
      </c>
      <c r="E29" s="175">
        <v>6.5299999999999997E-2</v>
      </c>
      <c r="F29" s="175">
        <v>6.2E-2</v>
      </c>
      <c r="G29" s="292" t="s">
        <v>186</v>
      </c>
      <c r="H29" s="175">
        <f>(E29-F29)</f>
        <v>3.2999999999999974E-3</v>
      </c>
      <c r="I29" s="260">
        <f>(D29-E29)</f>
        <v>-3.699999999999995E-3</v>
      </c>
      <c r="J29" s="263">
        <f>AVERAGE(H29:I29)</f>
        <v>-1.9999999999999879E-4</v>
      </c>
      <c r="K29" s="187">
        <f>60%*I29+40%*H29</f>
        <v>-8.9999999999999759E-4</v>
      </c>
    </row>
    <row r="30" spans="2:11" x14ac:dyDescent="0.25">
      <c r="C30" s="192" t="s">
        <v>100</v>
      </c>
      <c r="D30" s="175">
        <v>6.4000000000000003E-3</v>
      </c>
      <c r="E30" s="175">
        <v>5.7999999999999996E-3</v>
      </c>
      <c r="F30" s="175">
        <v>-6.9999999999999999E-4</v>
      </c>
      <c r="G30" s="292"/>
      <c r="H30"/>
      <c r="I30" s="77"/>
      <c r="J30" s="264"/>
    </row>
    <row r="31" spans="2:11" x14ac:dyDescent="0.25">
      <c r="B31" s="259">
        <v>6</v>
      </c>
      <c r="C31" s="65" t="s">
        <v>109</v>
      </c>
      <c r="D31" s="175">
        <v>0.94440000000000002</v>
      </c>
      <c r="E31" s="175">
        <v>0.94779999999999998</v>
      </c>
      <c r="F31" s="175">
        <v>1.006</v>
      </c>
      <c r="G31" s="292" t="s">
        <v>187</v>
      </c>
      <c r="H31" s="175">
        <f>(E31-F31)</f>
        <v>-5.8200000000000029E-2</v>
      </c>
      <c r="I31" s="260">
        <f>(D31-E31)</f>
        <v>-3.3999999999999586E-3</v>
      </c>
      <c r="J31" s="263">
        <f>AVERAGE(H31:I31)</f>
        <v>-3.0799999999999994E-2</v>
      </c>
      <c r="K31" s="187">
        <f>60%*I31+40%*H31</f>
        <v>-2.5319999999999988E-2</v>
      </c>
    </row>
    <row r="32" spans="2:11" x14ac:dyDescent="0.25">
      <c r="C32" s="65" t="s">
        <v>110</v>
      </c>
      <c r="D32" s="175">
        <v>0.29430000000000001</v>
      </c>
      <c r="E32" s="175">
        <v>0.26469999999999999</v>
      </c>
      <c r="F32" s="175">
        <v>0.22059999999999999</v>
      </c>
      <c r="G32" s="292"/>
      <c r="H32"/>
      <c r="I32" s="77"/>
      <c r="J32" s="264"/>
    </row>
    <row r="33" spans="2:11" x14ac:dyDescent="0.25">
      <c r="C33" s="65" t="s">
        <v>101</v>
      </c>
      <c r="D33" s="175">
        <v>0.79190000000000005</v>
      </c>
      <c r="E33" s="175">
        <v>0.81989999999999996</v>
      </c>
      <c r="F33" s="175">
        <v>0.81920000000000004</v>
      </c>
      <c r="G33" s="292"/>
      <c r="H33"/>
      <c r="I33" s="77"/>
      <c r="J33" s="264"/>
    </row>
    <row r="34" spans="2:11" x14ac:dyDescent="0.25">
      <c r="B34" s="259">
        <v>1</v>
      </c>
      <c r="C34" s="79" t="s">
        <v>95</v>
      </c>
      <c r="D34" s="179">
        <f>6392437*1000000</f>
        <v>6392437000000</v>
      </c>
      <c r="E34" s="179">
        <f>6187390*1000000</f>
        <v>6187390000000</v>
      </c>
      <c r="F34" s="179">
        <f>5328329*1000000</f>
        <v>5328329000000</v>
      </c>
      <c r="G34" s="292" t="s">
        <v>182</v>
      </c>
      <c r="H34" s="175">
        <f>(E34-F34)/F34</f>
        <v>0.16122521713655444</v>
      </c>
      <c r="I34" s="260">
        <f>(D34-E34)/E34</f>
        <v>3.3139498237544425E-2</v>
      </c>
      <c r="J34" s="265">
        <f>AVERAGE(H34:I34)</f>
        <v>9.7182357687049428E-2</v>
      </c>
      <c r="K34" s="187">
        <f>60%*I34+40%*H34</f>
        <v>8.4373785797148437E-2</v>
      </c>
    </row>
    <row r="35" spans="2:11" x14ac:dyDescent="0.25">
      <c r="H35"/>
      <c r="I35" s="77"/>
    </row>
    <row r="36" spans="2:11" x14ac:dyDescent="0.25">
      <c r="E36" s="175"/>
      <c r="H36"/>
      <c r="I36" s="77"/>
    </row>
    <row r="37" spans="2:11" x14ac:dyDescent="0.25">
      <c r="C37" s="182" t="s">
        <v>96</v>
      </c>
      <c r="D37" s="175"/>
      <c r="E37" s="175"/>
      <c r="H37"/>
      <c r="I37" s="77"/>
    </row>
    <row r="38" spans="2:11" x14ac:dyDescent="0.25">
      <c r="C38" s="61" t="s">
        <v>92</v>
      </c>
      <c r="D38" s="176">
        <v>2016</v>
      </c>
      <c r="E38" s="176">
        <v>2015</v>
      </c>
      <c r="F38" s="176">
        <v>2014</v>
      </c>
      <c r="H38" s="66" t="s">
        <v>161</v>
      </c>
      <c r="I38" s="262" t="s">
        <v>162</v>
      </c>
      <c r="J38" s="66" t="s">
        <v>160</v>
      </c>
    </row>
    <row r="39" spans="2:11" s="65" customFormat="1" x14ac:dyDescent="0.25">
      <c r="B39" s="259">
        <v>2</v>
      </c>
      <c r="C39" s="192" t="s">
        <v>112</v>
      </c>
      <c r="D39" s="197">
        <v>0.1492</v>
      </c>
      <c r="E39" s="197">
        <v>0.15479999999999999</v>
      </c>
      <c r="F39" s="197">
        <v>0.16259999999999999</v>
      </c>
      <c r="G39" s="292" t="s">
        <v>183</v>
      </c>
      <c r="H39" s="175">
        <f>(E39-F39)</f>
        <v>-7.8000000000000014E-3</v>
      </c>
      <c r="I39" s="260">
        <f>(D39-E39)</f>
        <v>-5.5999999999999939E-3</v>
      </c>
      <c r="J39" s="263">
        <f>AVERAGE(H39:I39)</f>
        <v>-6.6999999999999976E-3</v>
      </c>
      <c r="K39" s="187">
        <f>60%*I39+40%*H39</f>
        <v>-6.479999999999997E-3</v>
      </c>
    </row>
    <row r="40" spans="2:11" s="65" customFormat="1" x14ac:dyDescent="0.25">
      <c r="B40"/>
      <c r="C40" s="192" t="s">
        <v>99</v>
      </c>
      <c r="D40" s="197">
        <v>2.4299999999999999E-2</v>
      </c>
      <c r="E40" s="197">
        <v>2.35E-2</v>
      </c>
      <c r="F40" s="198"/>
      <c r="G40" s="292"/>
      <c r="H40"/>
      <c r="I40" s="77"/>
      <c r="J40" s="264"/>
      <c r="K40"/>
    </row>
    <row r="41" spans="2:11" s="65" customFormat="1" x14ac:dyDescent="0.25">
      <c r="B41" s="259">
        <v>7</v>
      </c>
      <c r="C41" s="192" t="s">
        <v>113</v>
      </c>
      <c r="D41" s="197">
        <v>2.4400000000000002E-2</v>
      </c>
      <c r="E41" s="197">
        <v>2.23E-2</v>
      </c>
      <c r="F41" s="197">
        <v>1.61E-2</v>
      </c>
      <c r="G41" s="292" t="s">
        <v>188</v>
      </c>
      <c r="H41" s="175">
        <f>(E41-F41)</f>
        <v>6.2000000000000006E-3</v>
      </c>
      <c r="I41" s="260">
        <f>(D41-E41)</f>
        <v>2.1000000000000012E-3</v>
      </c>
      <c r="J41" s="263">
        <f>AVERAGE(H41:I41)</f>
        <v>4.1500000000000009E-3</v>
      </c>
      <c r="K41" s="187">
        <f>60%*I41+40%*H41</f>
        <v>3.7400000000000011E-3</v>
      </c>
    </row>
    <row r="42" spans="2:11" s="65" customFormat="1" x14ac:dyDescent="0.25">
      <c r="B42"/>
      <c r="C42" s="192" t="s">
        <v>103</v>
      </c>
      <c r="D42" s="197">
        <v>2.2800000000000001E-2</v>
      </c>
      <c r="E42" s="197">
        <v>1.9E-2</v>
      </c>
      <c r="F42" s="197">
        <v>1.4500000000000001E-2</v>
      </c>
      <c r="G42" s="292"/>
      <c r="H42"/>
      <c r="I42" s="77"/>
      <c r="J42" s="264"/>
      <c r="K42"/>
    </row>
    <row r="43" spans="2:11" s="65" customFormat="1" x14ac:dyDescent="0.25">
      <c r="B43" s="259">
        <v>8</v>
      </c>
      <c r="C43" s="192" t="s">
        <v>11</v>
      </c>
      <c r="D43" s="199">
        <v>2.9399999999999999E-2</v>
      </c>
      <c r="E43" s="199">
        <v>2.53E-2</v>
      </c>
      <c r="F43" s="199">
        <v>1.8599999999999998E-2</v>
      </c>
      <c r="G43" s="292" t="s">
        <v>189</v>
      </c>
      <c r="H43" s="175">
        <f>(E43-F43)</f>
        <v>6.7000000000000011E-3</v>
      </c>
      <c r="I43" s="260">
        <f>(D43-E43)</f>
        <v>4.0999999999999995E-3</v>
      </c>
      <c r="J43" s="263">
        <f>AVERAGE(H43:I43)</f>
        <v>5.4000000000000003E-3</v>
      </c>
      <c r="K43" s="187">
        <f>60%*I43+40%*H43</f>
        <v>5.1400000000000005E-3</v>
      </c>
    </row>
    <row r="44" spans="2:11" s="65" customFormat="1" x14ac:dyDescent="0.25">
      <c r="B44"/>
      <c r="C44" s="192" t="s">
        <v>97</v>
      </c>
      <c r="D44" s="199">
        <v>1.6400000000000001E-2</v>
      </c>
      <c r="E44" s="199">
        <v>1.46E-2</v>
      </c>
      <c r="F44" s="199">
        <v>1.04E-2</v>
      </c>
      <c r="G44" s="292"/>
      <c r="H44"/>
      <c r="I44" s="77"/>
      <c r="J44" s="264"/>
      <c r="K44"/>
    </row>
    <row r="45" spans="2:11" s="65" customFormat="1" x14ac:dyDescent="0.25">
      <c r="B45" s="259">
        <v>3</v>
      </c>
      <c r="C45" s="192" t="s">
        <v>111</v>
      </c>
      <c r="D45" s="199">
        <v>1.44E-2</v>
      </c>
      <c r="E45" s="199">
        <v>1.43E-2</v>
      </c>
      <c r="F45" s="199">
        <v>1.2699999999999999E-2</v>
      </c>
      <c r="G45" s="292" t="s">
        <v>184</v>
      </c>
      <c r="H45" s="175">
        <f>(E45-F45)</f>
        <v>1.6000000000000007E-3</v>
      </c>
      <c r="I45" s="260">
        <f>(D45-E45)</f>
        <v>9.9999999999999395E-5</v>
      </c>
      <c r="J45" s="263">
        <f>AVERAGE(H45:I45)</f>
        <v>8.5000000000000006E-4</v>
      </c>
      <c r="K45" s="187">
        <f>60%*I45+40%*H45</f>
        <v>6.9999999999999999E-4</v>
      </c>
    </row>
    <row r="46" spans="2:11" s="65" customFormat="1" x14ac:dyDescent="0.25">
      <c r="B46" s="259">
        <v>4</v>
      </c>
      <c r="C46" s="192" t="s">
        <v>107</v>
      </c>
      <c r="D46" s="199">
        <v>0.11940000000000001</v>
      </c>
      <c r="E46" s="199">
        <v>0.1139</v>
      </c>
      <c r="F46" s="199">
        <v>0.10829999999999999</v>
      </c>
      <c r="G46" s="292" t="s">
        <v>185</v>
      </c>
      <c r="H46" s="175">
        <f>(E46-F46)</f>
        <v>5.6000000000000077E-3</v>
      </c>
      <c r="I46" s="260">
        <f>(D46-E46)</f>
        <v>5.5000000000000049E-3</v>
      </c>
      <c r="J46" s="263">
        <f>AVERAGE(H46:I46)</f>
        <v>5.5500000000000063E-3</v>
      </c>
      <c r="K46" s="187">
        <f>60%*I46+40%*H46</f>
        <v>5.5400000000000067E-3</v>
      </c>
    </row>
    <row r="47" spans="2:11" s="65" customFormat="1" x14ac:dyDescent="0.25">
      <c r="B47" s="259">
        <v>5</v>
      </c>
      <c r="C47" s="192" t="s">
        <v>108</v>
      </c>
      <c r="D47" s="197">
        <v>8.3199999999999996E-2</v>
      </c>
      <c r="E47" s="197">
        <v>8.2500000000000004E-2</v>
      </c>
      <c r="F47" s="197">
        <v>8.1500000000000003E-2</v>
      </c>
      <c r="G47" s="292" t="s">
        <v>186</v>
      </c>
      <c r="H47" s="175">
        <f>(E47-F47)</f>
        <v>1.0000000000000009E-3</v>
      </c>
      <c r="I47" s="260">
        <f>(D47-E47)</f>
        <v>6.999999999999923E-4</v>
      </c>
      <c r="J47" s="263">
        <f>AVERAGE(H47:I47)</f>
        <v>8.4999999999999659E-4</v>
      </c>
      <c r="K47" s="187">
        <f>60%*I47+40%*H47</f>
        <v>8.1999999999999575E-4</v>
      </c>
    </row>
    <row r="48" spans="2:11" s="65" customFormat="1" x14ac:dyDescent="0.25">
      <c r="B48"/>
      <c r="C48" s="192" t="s">
        <v>100</v>
      </c>
      <c r="D48" s="197">
        <v>8.9999999999999993E-3</v>
      </c>
      <c r="E48" s="197">
        <v>6.7000000000000002E-3</v>
      </c>
      <c r="F48" s="198"/>
      <c r="G48" s="292"/>
      <c r="H48"/>
      <c r="I48" s="77"/>
      <c r="J48" s="264"/>
      <c r="K48"/>
    </row>
    <row r="49" spans="2:11" s="65" customFormat="1" x14ac:dyDescent="0.25">
      <c r="B49" s="259">
        <v>6</v>
      </c>
      <c r="C49" s="65" t="s">
        <v>109</v>
      </c>
      <c r="D49" s="199">
        <v>0.87670000000000003</v>
      </c>
      <c r="E49" s="199">
        <v>0.89629999999999999</v>
      </c>
      <c r="F49" s="199">
        <v>0.89800000000000002</v>
      </c>
      <c r="G49" s="292" t="s">
        <v>187</v>
      </c>
      <c r="H49" s="175">
        <f>(E49-F49)</f>
        <v>-1.7000000000000348E-3</v>
      </c>
      <c r="I49" s="260">
        <f>(D49-E49)</f>
        <v>-1.9599999999999951E-2</v>
      </c>
      <c r="J49" s="263">
        <f>AVERAGE(H49:I49)</f>
        <v>-1.0649999999999993E-2</v>
      </c>
      <c r="K49" s="187">
        <f>60%*I49+40%*H49</f>
        <v>-1.2439999999999984E-2</v>
      </c>
    </row>
    <row r="50" spans="2:11" s="65" customFormat="1" x14ac:dyDescent="0.25">
      <c r="B50"/>
      <c r="C50" s="65" t="s">
        <v>110</v>
      </c>
      <c r="D50" s="197">
        <v>0.20549999999999999</v>
      </c>
      <c r="E50" s="197">
        <v>0.19409999999999999</v>
      </c>
      <c r="F50" s="197"/>
      <c r="G50" s="292"/>
      <c r="H50"/>
      <c r="I50" s="77"/>
      <c r="J50" s="264"/>
      <c r="K50"/>
    </row>
    <row r="51" spans="2:11" s="65" customFormat="1" x14ac:dyDescent="0.25">
      <c r="B51"/>
      <c r="C51" s="65" t="s">
        <v>101</v>
      </c>
      <c r="D51" s="197">
        <v>0.84570000000000001</v>
      </c>
      <c r="E51" s="197">
        <v>0.9194</v>
      </c>
      <c r="F51" s="199">
        <v>0.92600000000000005</v>
      </c>
      <c r="G51" s="292"/>
      <c r="H51"/>
      <c r="I51" s="77"/>
      <c r="J51" s="264"/>
      <c r="K51"/>
    </row>
    <row r="52" spans="2:11" x14ac:dyDescent="0.25">
      <c r="B52" s="259">
        <v>1</v>
      </c>
      <c r="C52" s="79" t="s">
        <v>95</v>
      </c>
      <c r="D52" s="183">
        <f>2486566*1000000</f>
        <v>2486566000000</v>
      </c>
      <c r="E52" s="183">
        <f>2215658*1000000</f>
        <v>2215658000000</v>
      </c>
      <c r="F52" s="179">
        <f>2004358*1000000</f>
        <v>2004358000000</v>
      </c>
      <c r="G52" s="292" t="s">
        <v>182</v>
      </c>
      <c r="H52" s="175">
        <f>(E52-F52)/F52</f>
        <v>0.1054202891898553</v>
      </c>
      <c r="I52" s="260">
        <f>(D52-E52)/E52</f>
        <v>0.12226977268152395</v>
      </c>
      <c r="J52" s="265">
        <f>AVERAGE(H52:I52)</f>
        <v>0.11384503093568962</v>
      </c>
      <c r="K52" s="187">
        <f>60%*I52+40%*H52</f>
        <v>0.11552997928485648</v>
      </c>
    </row>
    <row r="53" spans="2:11" x14ac:dyDescent="0.25">
      <c r="C53" s="79"/>
      <c r="D53" s="175"/>
      <c r="E53" s="175"/>
      <c r="F53" s="175"/>
      <c r="H53"/>
      <c r="I53" s="77"/>
    </row>
    <row r="54" spans="2:11" x14ac:dyDescent="0.25">
      <c r="C54" s="186" t="s">
        <v>98</v>
      </c>
      <c r="D54" s="175"/>
      <c r="E54" s="175"/>
      <c r="F54" s="175"/>
      <c r="H54"/>
      <c r="I54" s="77"/>
    </row>
    <row r="55" spans="2:11" x14ac:dyDescent="0.25">
      <c r="C55" s="61" t="s">
        <v>92</v>
      </c>
      <c r="D55" s="176">
        <v>2016</v>
      </c>
      <c r="E55" s="176">
        <v>2015</v>
      </c>
      <c r="F55" s="176">
        <v>2014</v>
      </c>
      <c r="H55" s="66" t="s">
        <v>161</v>
      </c>
      <c r="I55" s="262" t="s">
        <v>162</v>
      </c>
      <c r="J55" s="66" t="s">
        <v>160</v>
      </c>
    </row>
    <row r="56" spans="2:11" x14ac:dyDescent="0.25">
      <c r="B56" s="259">
        <v>2</v>
      </c>
      <c r="C56" s="192" t="s">
        <v>112</v>
      </c>
      <c r="D56" s="175">
        <v>0.20630000000000001</v>
      </c>
      <c r="E56" s="175">
        <v>0.1394</v>
      </c>
      <c r="F56" s="175">
        <v>0.12889999999999999</v>
      </c>
      <c r="G56" s="292" t="s">
        <v>183</v>
      </c>
      <c r="H56" s="175">
        <f>(E56-F56)</f>
        <v>1.0500000000000009E-2</v>
      </c>
      <c r="I56" s="260">
        <f>(D56-E56)</f>
        <v>6.6900000000000015E-2</v>
      </c>
      <c r="J56" s="263">
        <f>AVERAGE(H56:I56)</f>
        <v>3.8700000000000012E-2</v>
      </c>
      <c r="K56" s="187">
        <f>60%*I56+40%*H56</f>
        <v>4.4340000000000011E-2</v>
      </c>
    </row>
    <row r="57" spans="2:11" x14ac:dyDescent="0.25">
      <c r="C57" s="192" t="s">
        <v>99</v>
      </c>
      <c r="D57" s="175">
        <v>3.09E-2</v>
      </c>
      <c r="E57" s="175">
        <v>3.3799999999999997E-2</v>
      </c>
      <c r="F57" s="175"/>
      <c r="G57" s="292"/>
      <c r="H57"/>
      <c r="I57" s="77"/>
      <c r="J57" s="264"/>
    </row>
    <row r="58" spans="2:11" x14ac:dyDescent="0.25">
      <c r="B58" s="259">
        <v>7</v>
      </c>
      <c r="C58" s="192" t="s">
        <v>113</v>
      </c>
      <c r="D58" s="175">
        <v>3.0300000000000001E-2</v>
      </c>
      <c r="E58" s="175">
        <v>3.3799999999999997E-2</v>
      </c>
      <c r="F58" s="175">
        <v>3.5900000000000001E-2</v>
      </c>
      <c r="G58" s="292" t="s">
        <v>188</v>
      </c>
      <c r="H58" s="175">
        <f>(E58-F58)</f>
        <v>-2.1000000000000046E-3</v>
      </c>
      <c r="I58" s="260">
        <f>(D58-E58)</f>
        <v>-3.4999999999999962E-3</v>
      </c>
      <c r="J58" s="263">
        <f>AVERAGE(H58:I58)</f>
        <v>-2.8000000000000004E-3</v>
      </c>
      <c r="K58" s="187">
        <f>60%*I58+40%*H58</f>
        <v>-2.9399999999999995E-3</v>
      </c>
    </row>
    <row r="59" spans="2:11" x14ac:dyDescent="0.25">
      <c r="C59" s="192" t="s">
        <v>103</v>
      </c>
      <c r="D59" s="175">
        <v>1.8200000000000001E-2</v>
      </c>
      <c r="E59" s="175">
        <v>1.5599999999999999E-2</v>
      </c>
      <c r="F59" s="175">
        <v>1.3899999999999999E-2</v>
      </c>
      <c r="G59" s="292"/>
      <c r="H59"/>
      <c r="I59" s="77"/>
      <c r="J59" s="264"/>
    </row>
    <row r="60" spans="2:11" x14ac:dyDescent="0.25">
      <c r="B60" s="259">
        <v>8</v>
      </c>
      <c r="C60" s="192" t="s">
        <v>11</v>
      </c>
      <c r="D60" s="175">
        <v>4.5699999999999998E-2</v>
      </c>
      <c r="E60" s="175">
        <v>4.8599999999999997E-2</v>
      </c>
      <c r="F60" s="175">
        <v>4.5999999999999999E-2</v>
      </c>
      <c r="G60" s="292" t="s">
        <v>189</v>
      </c>
      <c r="H60" s="175">
        <f>(E60-F60)</f>
        <v>2.5999999999999981E-3</v>
      </c>
      <c r="I60" s="260">
        <f>(D60-E60)</f>
        <v>-2.8999999999999998E-3</v>
      </c>
      <c r="J60" s="263">
        <f>AVERAGE(H60:I60)</f>
        <v>-1.5000000000000083E-4</v>
      </c>
      <c r="K60" s="187">
        <f>60%*I60+40%*H60</f>
        <v>-7.0000000000000053E-4</v>
      </c>
    </row>
    <row r="61" spans="2:11" x14ac:dyDescent="0.25">
      <c r="C61" s="192" t="s">
        <v>97</v>
      </c>
      <c r="D61" s="175">
        <v>3.1899999999999998E-2</v>
      </c>
      <c r="E61" s="175">
        <v>3.8899999999999997E-2</v>
      </c>
      <c r="F61" s="175">
        <v>3.6499999999999998E-2</v>
      </c>
      <c r="G61" s="292"/>
      <c r="H61"/>
      <c r="I61" s="77"/>
      <c r="J61" s="264"/>
    </row>
    <row r="62" spans="2:11" x14ac:dyDescent="0.25">
      <c r="B62" s="259">
        <v>3</v>
      </c>
      <c r="C62" s="192" t="s">
        <v>111</v>
      </c>
      <c r="D62" s="175">
        <v>9.4999999999999998E-3</v>
      </c>
      <c r="E62" s="175">
        <v>7.7000000000000002E-3</v>
      </c>
      <c r="F62" s="175">
        <v>8.0000000000000004E-4</v>
      </c>
      <c r="G62" s="292" t="s">
        <v>184</v>
      </c>
      <c r="H62" s="175">
        <f>(E62-F62)</f>
        <v>6.8999999999999999E-3</v>
      </c>
      <c r="I62" s="260">
        <f>(D62-E62)</f>
        <v>1.7999999999999995E-3</v>
      </c>
      <c r="J62" s="263">
        <f>AVERAGE(H62:I62)</f>
        <v>4.3499999999999997E-3</v>
      </c>
      <c r="K62" s="187">
        <f>60%*I62+40%*H62</f>
        <v>3.8399999999999997E-3</v>
      </c>
    </row>
    <row r="63" spans="2:11" x14ac:dyDescent="0.25">
      <c r="B63" s="259">
        <v>4</v>
      </c>
      <c r="C63" s="192" t="s">
        <v>107</v>
      </c>
      <c r="D63" s="175">
        <v>7.3999999999999996E-2</v>
      </c>
      <c r="E63" s="175">
        <v>6.3299999999999995E-2</v>
      </c>
      <c r="F63" s="175">
        <v>4.4000000000000003E-3</v>
      </c>
      <c r="G63" s="292" t="s">
        <v>185</v>
      </c>
      <c r="H63" s="175">
        <f>(E63-F63)</f>
        <v>5.8899999999999994E-2</v>
      </c>
      <c r="I63" s="260">
        <f>(D63-E63)</f>
        <v>1.0700000000000001E-2</v>
      </c>
      <c r="J63" s="263">
        <f>AVERAGE(H63:I63)</f>
        <v>3.4799999999999998E-2</v>
      </c>
      <c r="K63" s="187">
        <f>60%*I63+40%*H63</f>
        <v>2.998E-2</v>
      </c>
    </row>
    <row r="64" spans="2:11" x14ac:dyDescent="0.25">
      <c r="B64" s="259">
        <v>5</v>
      </c>
      <c r="C64" s="192" t="s">
        <v>108</v>
      </c>
      <c r="D64" s="175">
        <v>6.3799999999999996E-2</v>
      </c>
      <c r="E64" s="175">
        <v>6.3799999999999996E-2</v>
      </c>
      <c r="F64" s="175">
        <v>6.0400000000000002E-2</v>
      </c>
      <c r="G64" s="292" t="s">
        <v>186</v>
      </c>
      <c r="H64" s="175">
        <f>(E64-F64)</f>
        <v>3.3999999999999933E-3</v>
      </c>
      <c r="I64" s="260">
        <f>(D64-E64)</f>
        <v>0</v>
      </c>
      <c r="J64" s="263">
        <f>AVERAGE(H64:I64)</f>
        <v>1.6999999999999967E-3</v>
      </c>
      <c r="K64" s="187">
        <f>60%*I64+40%*H64</f>
        <v>1.3599999999999975E-3</v>
      </c>
    </row>
    <row r="65" spans="2:11" x14ac:dyDescent="0.25">
      <c r="C65" s="192" t="s">
        <v>100</v>
      </c>
      <c r="D65" s="175">
        <v>3.8999999999999998E-3</v>
      </c>
      <c r="E65" s="175">
        <v>6.9999999999999999E-4</v>
      </c>
      <c r="F65" s="175"/>
      <c r="G65" s="292"/>
      <c r="H65"/>
      <c r="I65" s="77"/>
      <c r="J65" s="264"/>
    </row>
    <row r="66" spans="2:11" x14ac:dyDescent="0.25">
      <c r="B66" s="259">
        <v>6</v>
      </c>
      <c r="C66" s="65" t="s">
        <v>109</v>
      </c>
      <c r="D66" s="175">
        <v>0.9133</v>
      </c>
      <c r="E66" s="175">
        <v>0.93789999999999996</v>
      </c>
      <c r="F66" s="175">
        <v>0.99139999999999995</v>
      </c>
      <c r="G66" s="292" t="s">
        <v>187</v>
      </c>
      <c r="H66" s="175">
        <f>(E66-F66)</f>
        <v>-5.3499999999999992E-2</v>
      </c>
      <c r="I66" s="260">
        <f>(D66-E66)</f>
        <v>-2.4599999999999955E-2</v>
      </c>
      <c r="J66" s="263">
        <f>AVERAGE(H66:I66)</f>
        <v>-3.9049999999999974E-2</v>
      </c>
      <c r="K66" s="187">
        <f>60%*I66+40%*H66</f>
        <v>-3.615999999999997E-2</v>
      </c>
    </row>
    <row r="67" spans="2:11" x14ac:dyDescent="0.25">
      <c r="C67" s="65" t="s">
        <v>110</v>
      </c>
      <c r="D67" s="175">
        <v>0.36959999999999998</v>
      </c>
      <c r="E67" s="175">
        <v>0.37240000000000001</v>
      </c>
      <c r="G67" s="292"/>
      <c r="H67"/>
      <c r="I67" s="77"/>
      <c r="J67" s="264"/>
    </row>
    <row r="68" spans="2:11" x14ac:dyDescent="0.25">
      <c r="C68" s="65" t="s">
        <v>101</v>
      </c>
      <c r="D68" s="175">
        <v>0.81420000000000003</v>
      </c>
      <c r="E68" s="175">
        <v>0.84160000000000001</v>
      </c>
      <c r="F68" s="175">
        <v>0.93899999999999995</v>
      </c>
      <c r="G68" s="292"/>
      <c r="H68"/>
      <c r="I68" s="77"/>
      <c r="J68" s="264"/>
    </row>
    <row r="69" spans="2:11" x14ac:dyDescent="0.25">
      <c r="B69" s="259">
        <v>1</v>
      </c>
      <c r="C69" s="79" t="s">
        <v>95</v>
      </c>
      <c r="D69" s="179">
        <f>3467400*1000000</f>
        <v>3467400000000</v>
      </c>
      <c r="E69" s="179">
        <f>2343249*1000000</f>
        <v>2343249000000</v>
      </c>
      <c r="F69" s="179">
        <f>1767087*1000000</f>
        <v>1767087000000</v>
      </c>
      <c r="G69" s="292" t="s">
        <v>182</v>
      </c>
      <c r="H69" s="175">
        <f>(E69-F69)/F69</f>
        <v>0.32605185822769339</v>
      </c>
      <c r="I69" s="260">
        <f>(D69-E69)/E69</f>
        <v>0.47974030928851352</v>
      </c>
      <c r="J69" s="265">
        <f>AVERAGE(H69:I69)</f>
        <v>0.40289608375810348</v>
      </c>
      <c r="K69" s="187">
        <f>60%*I69+40%*H69</f>
        <v>0.41826492886418543</v>
      </c>
    </row>
    <row r="70" spans="2:11" x14ac:dyDescent="0.25">
      <c r="C70" s="79"/>
      <c r="D70" s="179"/>
      <c r="E70" s="179"/>
      <c r="F70" s="179"/>
      <c r="H70" s="179"/>
      <c r="I70" s="261"/>
      <c r="J70" s="179"/>
    </row>
    <row r="71" spans="2:11" x14ac:dyDescent="0.25">
      <c r="C71" s="188" t="s">
        <v>102</v>
      </c>
      <c r="D71" s="175"/>
      <c r="E71" s="175"/>
      <c r="F71" s="175"/>
      <c r="H71"/>
      <c r="I71" s="77"/>
    </row>
    <row r="72" spans="2:11" x14ac:dyDescent="0.25">
      <c r="C72" s="61" t="s">
        <v>92</v>
      </c>
      <c r="D72" s="176">
        <v>2016</v>
      </c>
      <c r="E72" s="176">
        <v>2015</v>
      </c>
      <c r="F72" s="176">
        <v>2014</v>
      </c>
      <c r="H72" s="66" t="s">
        <v>161</v>
      </c>
      <c r="I72" s="262" t="s">
        <v>162</v>
      </c>
      <c r="J72" s="66" t="s">
        <v>160</v>
      </c>
    </row>
    <row r="73" spans="2:11" x14ac:dyDescent="0.25">
      <c r="B73" s="259">
        <v>2</v>
      </c>
      <c r="C73" s="192" t="s">
        <v>112</v>
      </c>
      <c r="D73" s="187">
        <v>0.17</v>
      </c>
      <c r="E73" s="187">
        <v>0.16309999999999999</v>
      </c>
      <c r="F73" s="187">
        <v>0.14799999999999999</v>
      </c>
      <c r="G73" s="292" t="s">
        <v>183</v>
      </c>
      <c r="H73" s="175">
        <f>(E73-F73)</f>
        <v>1.5100000000000002E-2</v>
      </c>
      <c r="I73" s="260">
        <f>(D73-E73)</f>
        <v>6.9000000000000172E-3</v>
      </c>
      <c r="J73" s="263">
        <f>AVERAGE(H73:I73)</f>
        <v>1.100000000000001E-2</v>
      </c>
      <c r="K73" s="187">
        <f>60%*I73+40%*H73</f>
        <v>1.0180000000000012E-2</v>
      </c>
    </row>
    <row r="74" spans="2:11" x14ac:dyDescent="0.25">
      <c r="C74" s="192" t="s">
        <v>99</v>
      </c>
      <c r="D74" s="187">
        <v>2.3599999999999999E-2</v>
      </c>
      <c r="E74" s="187">
        <v>2.4400000000000002E-2</v>
      </c>
      <c r="F74" s="187">
        <v>3.2199999999999999E-2</v>
      </c>
      <c r="G74" s="292"/>
      <c r="H74"/>
      <c r="I74" s="77"/>
      <c r="J74" s="264"/>
    </row>
    <row r="75" spans="2:11" x14ac:dyDescent="0.25">
      <c r="B75" s="259">
        <v>7</v>
      </c>
      <c r="C75" s="192" t="s">
        <v>113</v>
      </c>
      <c r="D75" s="187">
        <v>2.3900000000000001E-2</v>
      </c>
      <c r="E75" s="187">
        <v>2.4400000000000002E-2</v>
      </c>
      <c r="F75" s="187">
        <v>3.2599999999999997E-2</v>
      </c>
      <c r="G75" s="292" t="s">
        <v>188</v>
      </c>
      <c r="H75" s="175">
        <f>(E75-F75)</f>
        <v>-8.1999999999999955E-3</v>
      </c>
      <c r="I75" s="260">
        <f>(D75-E75)</f>
        <v>-5.0000000000000044E-4</v>
      </c>
      <c r="J75" s="263">
        <f>AVERAGE(H75:I75)</f>
        <v>-4.349999999999998E-3</v>
      </c>
      <c r="K75" s="187">
        <f>60%*I75+40%*H75</f>
        <v>-3.5799999999999985E-3</v>
      </c>
    </row>
    <row r="76" spans="2:11" x14ac:dyDescent="0.25">
      <c r="C76" s="192" t="s">
        <v>103</v>
      </c>
      <c r="D76" s="187">
        <v>1.6E-2</v>
      </c>
      <c r="E76" s="187">
        <v>1.3599999999999999E-2</v>
      </c>
      <c r="F76" s="187">
        <v>1.3899999999999999E-2</v>
      </c>
      <c r="G76" s="292"/>
      <c r="H76"/>
      <c r="I76" s="77"/>
      <c r="J76" s="264"/>
    </row>
    <row r="77" spans="2:11" x14ac:dyDescent="0.25">
      <c r="B77" s="259">
        <v>8</v>
      </c>
      <c r="C77" s="192" t="s">
        <v>11</v>
      </c>
      <c r="D77" s="187">
        <v>3.1699999999999999E-2</v>
      </c>
      <c r="E77" s="187">
        <v>2.9899999999999999E-2</v>
      </c>
      <c r="F77" s="187">
        <v>4.07E-2</v>
      </c>
      <c r="G77" s="292" t="s">
        <v>189</v>
      </c>
      <c r="H77" s="175">
        <f>(E77-F77)</f>
        <v>-1.0800000000000001E-2</v>
      </c>
      <c r="I77" s="260">
        <f>(D77-E77)</f>
        <v>1.7999999999999995E-3</v>
      </c>
      <c r="J77" s="263">
        <f>AVERAGE(H77:I77)</f>
        <v>-4.5000000000000005E-3</v>
      </c>
      <c r="K77" s="187">
        <f>60%*I77+40%*H77</f>
        <v>-3.2400000000000007E-3</v>
      </c>
    </row>
    <row r="78" spans="2:11" x14ac:dyDescent="0.25">
      <c r="C78" s="192" t="s">
        <v>97</v>
      </c>
      <c r="D78" s="187">
        <v>2.7199999999999998E-2</v>
      </c>
      <c r="E78" s="187">
        <v>2.7400000000000001E-2</v>
      </c>
      <c r="F78" s="187">
        <v>3.3399999999999999E-2</v>
      </c>
      <c r="G78" s="292"/>
      <c r="H78"/>
      <c r="I78" s="77"/>
      <c r="J78" s="264"/>
    </row>
    <row r="79" spans="2:11" x14ac:dyDescent="0.25">
      <c r="B79" s="259">
        <v>3</v>
      </c>
      <c r="C79" s="192" t="s">
        <v>111</v>
      </c>
      <c r="D79" s="187">
        <v>7.6E-3</v>
      </c>
      <c r="E79" s="187">
        <v>7.9000000000000008E-3</v>
      </c>
      <c r="F79" s="187">
        <v>2.7000000000000001E-3</v>
      </c>
      <c r="G79" s="292" t="s">
        <v>184</v>
      </c>
      <c r="H79" s="175">
        <f>(E79-F79)</f>
        <v>5.2000000000000006E-3</v>
      </c>
      <c r="I79" s="260">
        <f>(D79-E79)</f>
        <v>-3.0000000000000079E-4</v>
      </c>
      <c r="J79" s="263">
        <f>AVERAGE(H79:I79)</f>
        <v>2.4499999999999999E-3</v>
      </c>
      <c r="K79" s="187">
        <f>60%*I79+40%*H79</f>
        <v>1.8999999999999998E-3</v>
      </c>
    </row>
    <row r="80" spans="2:11" x14ac:dyDescent="0.25">
      <c r="B80" s="259">
        <v>4</v>
      </c>
      <c r="C80" s="192" t="s">
        <v>107</v>
      </c>
      <c r="D80" s="187">
        <v>5.1499999999999997E-2</v>
      </c>
      <c r="E80" s="187">
        <v>5.3499999999999999E-2</v>
      </c>
      <c r="F80" s="187">
        <v>2.3900000000000001E-2</v>
      </c>
      <c r="G80" s="292" t="s">
        <v>185</v>
      </c>
      <c r="H80" s="175">
        <f>(E80-F80)</f>
        <v>2.9599999999999998E-2</v>
      </c>
      <c r="I80" s="260">
        <f>(D80-E80)</f>
        <v>-2.0000000000000018E-3</v>
      </c>
      <c r="J80" s="263">
        <f>AVERAGE(H80:I80)</f>
        <v>1.3799999999999998E-2</v>
      </c>
      <c r="K80" s="187">
        <f>60%*I80+40%*H80</f>
        <v>1.0639999999999998E-2</v>
      </c>
    </row>
    <row r="81" spans="2:11" x14ac:dyDescent="0.25">
      <c r="B81" s="259">
        <v>5</v>
      </c>
      <c r="C81" s="192" t="s">
        <v>108</v>
      </c>
      <c r="D81" s="187">
        <v>3.3099999999999997E-2</v>
      </c>
      <c r="E81" s="187">
        <v>3.1399999999999997E-2</v>
      </c>
      <c r="F81" s="187">
        <v>2.75E-2</v>
      </c>
      <c r="G81" s="292" t="s">
        <v>186</v>
      </c>
      <c r="H81" s="175">
        <f>(E81-F81)</f>
        <v>3.8999999999999972E-3</v>
      </c>
      <c r="I81" s="260">
        <f>(D81-E81)</f>
        <v>1.7000000000000001E-3</v>
      </c>
      <c r="J81" s="263">
        <f>AVERAGE(H81:I81)</f>
        <v>2.7999999999999987E-3</v>
      </c>
      <c r="K81" s="187">
        <f>60%*I81+40%*H81</f>
        <v>2.579999999999999E-3</v>
      </c>
    </row>
    <row r="82" spans="2:11" x14ac:dyDescent="0.25">
      <c r="C82" s="192" t="s">
        <v>100</v>
      </c>
      <c r="D82" s="187">
        <v>4.0000000000000001E-3</v>
      </c>
      <c r="E82" s="187">
        <v>2.7000000000000001E-3</v>
      </c>
      <c r="F82" s="187">
        <v>1.6000000000000001E-3</v>
      </c>
      <c r="G82" s="292"/>
      <c r="H82"/>
      <c r="I82" s="77"/>
      <c r="J82" s="264"/>
    </row>
    <row r="83" spans="2:11" x14ac:dyDescent="0.25">
      <c r="B83" s="259">
        <v>6</v>
      </c>
      <c r="C83" s="65" t="s">
        <v>109</v>
      </c>
      <c r="D83" s="187">
        <v>0.91759999999999997</v>
      </c>
      <c r="E83" s="187">
        <v>0.91990000000000005</v>
      </c>
      <c r="F83" s="187">
        <v>0.9677</v>
      </c>
      <c r="G83" s="292" t="s">
        <v>187</v>
      </c>
      <c r="H83" s="175">
        <f>(E83-F83)</f>
        <v>-4.7799999999999954E-2</v>
      </c>
      <c r="I83" s="260">
        <f>(D83-E83)</f>
        <v>-2.3000000000000798E-3</v>
      </c>
      <c r="J83" s="263">
        <f>AVERAGE(H83:I83)</f>
        <v>-2.5050000000000017E-2</v>
      </c>
      <c r="K83" s="187">
        <f>60%*I83+40%*H83</f>
        <v>-2.0500000000000032E-2</v>
      </c>
    </row>
    <row r="84" spans="2:11" x14ac:dyDescent="0.25">
      <c r="C84" s="65" t="s">
        <v>110</v>
      </c>
      <c r="D84" s="187">
        <v>0.52559999999999996</v>
      </c>
      <c r="E84" s="187">
        <v>0.48089999999999999</v>
      </c>
      <c r="F84" s="187">
        <v>0.39400000000000002</v>
      </c>
      <c r="G84" s="292"/>
      <c r="H84"/>
      <c r="I84" s="77"/>
      <c r="J84" s="264"/>
    </row>
    <row r="85" spans="2:11" x14ac:dyDescent="0.25">
      <c r="C85" s="65" t="s">
        <v>101</v>
      </c>
      <c r="D85" s="187">
        <v>0.88180000000000003</v>
      </c>
      <c r="E85" s="187">
        <v>0.90559999999999996</v>
      </c>
      <c r="F85" s="187">
        <v>0.92889999999999995</v>
      </c>
      <c r="G85" s="292"/>
      <c r="H85"/>
      <c r="I85" s="77"/>
      <c r="J85" s="264"/>
    </row>
    <row r="86" spans="2:11" x14ac:dyDescent="0.25">
      <c r="B86" s="259">
        <v>1</v>
      </c>
      <c r="C86" s="79" t="s">
        <v>95</v>
      </c>
      <c r="D86" s="179">
        <f>798568*1000000</f>
        <v>798568000000</v>
      </c>
      <c r="E86" s="179">
        <f>633083*1000000</f>
        <v>633083000000</v>
      </c>
      <c r="F86" s="179">
        <f>503633*1000000</f>
        <v>503633000000</v>
      </c>
      <c r="G86" s="292" t="s">
        <v>182</v>
      </c>
      <c r="H86" s="175">
        <f>(E86-F86)/F86</f>
        <v>0.25703240256297738</v>
      </c>
      <c r="I86" s="260">
        <f>(D86-E86)/E86</f>
        <v>0.26139542524439924</v>
      </c>
      <c r="J86" s="265">
        <f>AVERAGE(H86:I86)</f>
        <v>0.25921391390368831</v>
      </c>
      <c r="K86" s="187">
        <f>60%*I86+40%*H86</f>
        <v>0.25965021617183048</v>
      </c>
    </row>
    <row r="87" spans="2:11" x14ac:dyDescent="0.25">
      <c r="C87" s="79"/>
      <c r="D87" s="179"/>
      <c r="E87" s="179"/>
      <c r="F87" s="179"/>
      <c r="H87"/>
      <c r="I87" s="77"/>
    </row>
    <row r="88" spans="2:11" x14ac:dyDescent="0.25">
      <c r="C88" s="189" t="s">
        <v>104</v>
      </c>
      <c r="D88" s="175"/>
      <c r="E88" s="175"/>
      <c r="F88" s="175"/>
      <c r="H88"/>
      <c r="I88" s="77"/>
    </row>
    <row r="89" spans="2:11" x14ac:dyDescent="0.25">
      <c r="C89" s="61" t="s">
        <v>92</v>
      </c>
      <c r="D89" s="176">
        <v>2016</v>
      </c>
      <c r="E89" s="176">
        <v>2015</v>
      </c>
      <c r="F89" s="176">
        <v>2014</v>
      </c>
      <c r="H89" s="66" t="s">
        <v>161</v>
      </c>
      <c r="I89" s="262" t="s">
        <v>162</v>
      </c>
      <c r="J89" s="66" t="s">
        <v>160</v>
      </c>
    </row>
    <row r="90" spans="2:11" x14ac:dyDescent="0.25">
      <c r="B90" s="259">
        <v>2</v>
      </c>
      <c r="C90" s="192" t="s">
        <v>112</v>
      </c>
      <c r="D90" s="175">
        <v>0.23530000000000001</v>
      </c>
      <c r="E90" s="175">
        <v>0.18740000000000001</v>
      </c>
      <c r="F90" s="175">
        <v>0.18820000000000001</v>
      </c>
      <c r="G90" s="292" t="s">
        <v>183</v>
      </c>
      <c r="H90" s="175">
        <f>(E90-F90)</f>
        <v>-7.9999999999999516E-4</v>
      </c>
      <c r="I90" s="260">
        <f>(D90-E90)</f>
        <v>4.7899999999999998E-2</v>
      </c>
      <c r="J90" s="263">
        <f>AVERAGE(H90:I90)</f>
        <v>2.3550000000000001E-2</v>
      </c>
      <c r="K90" s="187">
        <f>60%*I90+40%*H90</f>
        <v>2.8420000000000001E-2</v>
      </c>
    </row>
    <row r="91" spans="2:11" x14ac:dyDescent="0.25">
      <c r="C91" s="192" t="s">
        <v>99</v>
      </c>
      <c r="D91" s="175">
        <v>2.52E-2</v>
      </c>
      <c r="E91" s="175">
        <v>3.3099999999999997E-2</v>
      </c>
      <c r="F91" s="175">
        <v>3.09E-2</v>
      </c>
      <c r="G91" s="292"/>
      <c r="H91"/>
      <c r="I91" s="77"/>
      <c r="J91" s="264"/>
    </row>
    <row r="92" spans="2:11" x14ac:dyDescent="0.25">
      <c r="B92" s="259">
        <v>7</v>
      </c>
      <c r="C92" s="192" t="s">
        <v>113</v>
      </c>
      <c r="D92" s="175">
        <v>2.9899999999999999E-2</v>
      </c>
      <c r="E92" s="175">
        <v>3.9300000000000002E-2</v>
      </c>
      <c r="F92" s="175">
        <v>3.4299999999999997E-2</v>
      </c>
      <c r="G92" s="292" t="s">
        <v>188</v>
      </c>
      <c r="H92" s="175">
        <f>(E92-F92)</f>
        <v>5.0000000000000044E-3</v>
      </c>
      <c r="I92" s="260">
        <f>(D92-E92)</f>
        <v>-9.4000000000000021E-3</v>
      </c>
      <c r="J92" s="263">
        <f>AVERAGE(H92:I92)</f>
        <v>-2.1999999999999988E-3</v>
      </c>
      <c r="K92" s="187">
        <f>60%*I92+40%*H92</f>
        <v>-3.6399999999999991E-3</v>
      </c>
    </row>
    <row r="93" spans="2:11" x14ac:dyDescent="0.25">
      <c r="C93" s="192" t="s">
        <v>103</v>
      </c>
      <c r="D93" s="175">
        <v>9.2999999999999992E-3</v>
      </c>
      <c r="E93" s="175">
        <v>2.5000000000000001E-2</v>
      </c>
      <c r="F93" s="175">
        <v>2.53E-2</v>
      </c>
      <c r="G93" s="292"/>
      <c r="H93"/>
      <c r="I93" s="77"/>
      <c r="J93" s="264"/>
    </row>
    <row r="94" spans="2:11" x14ac:dyDescent="0.25">
      <c r="B94" s="259">
        <v>8</v>
      </c>
      <c r="C94" s="192" t="s">
        <v>11</v>
      </c>
      <c r="D94" s="175">
        <v>3.3000000000000002E-2</v>
      </c>
      <c r="E94" s="175">
        <v>4.2599999999999999E-2</v>
      </c>
      <c r="F94" s="175">
        <v>3.8899999999999997E-2</v>
      </c>
      <c r="G94" s="292" t="s">
        <v>189</v>
      </c>
      <c r="H94" s="175">
        <f>(E94-F94)</f>
        <v>3.7000000000000019E-3</v>
      </c>
      <c r="I94" s="260">
        <f>(D94-E94)</f>
        <v>-9.5999999999999974E-3</v>
      </c>
      <c r="J94" s="263">
        <f>AVERAGE(H94:I94)</f>
        <v>-2.9499999999999978E-3</v>
      </c>
      <c r="K94" s="187">
        <f>60%*I94+40%*H94</f>
        <v>-4.2799999999999973E-3</v>
      </c>
    </row>
    <row r="95" spans="2:11" x14ac:dyDescent="0.25">
      <c r="C95" s="192" t="s">
        <v>97</v>
      </c>
      <c r="D95" s="175">
        <v>2.81E-2</v>
      </c>
      <c r="E95" s="175">
        <v>3.1600000000000003E-2</v>
      </c>
      <c r="F95" s="175">
        <v>1.8100000000000002E-2</v>
      </c>
      <c r="G95" s="292"/>
      <c r="H95"/>
      <c r="I95" s="77"/>
      <c r="J95" s="264"/>
    </row>
    <row r="96" spans="2:11" x14ac:dyDescent="0.25">
      <c r="B96" s="259">
        <v>3</v>
      </c>
      <c r="C96" s="192" t="s">
        <v>111</v>
      </c>
      <c r="D96" s="175">
        <v>2.63E-2</v>
      </c>
      <c r="E96" s="175">
        <v>3.0000000000000001E-3</v>
      </c>
      <c r="F96" s="175">
        <v>2.8999999999999998E-3</v>
      </c>
      <c r="G96" s="292" t="s">
        <v>184</v>
      </c>
      <c r="H96" s="175">
        <f>(E96-F96)</f>
        <v>1.0000000000000026E-4</v>
      </c>
      <c r="I96" s="260">
        <f>(D96-E96)</f>
        <v>2.3300000000000001E-2</v>
      </c>
      <c r="J96" s="263">
        <f>AVERAGE(H96:I96)</f>
        <v>1.17E-2</v>
      </c>
      <c r="K96" s="187">
        <f>60%*I96+40%*H96</f>
        <v>1.4020000000000001E-2</v>
      </c>
    </row>
    <row r="97" spans="2:11" x14ac:dyDescent="0.25">
      <c r="B97" s="259">
        <v>4</v>
      </c>
      <c r="C97" s="192" t="s">
        <v>107</v>
      </c>
      <c r="D97" s="175">
        <v>0.1197</v>
      </c>
      <c r="E97" s="175">
        <v>1.61E-2</v>
      </c>
      <c r="F97" s="175">
        <v>2.5000000000000001E-2</v>
      </c>
      <c r="G97" s="292" t="s">
        <v>185</v>
      </c>
      <c r="H97" s="175">
        <f>(E97-F97)</f>
        <v>-8.9000000000000017E-3</v>
      </c>
      <c r="I97" s="260">
        <f>(D97-E97)</f>
        <v>0.1036</v>
      </c>
      <c r="J97" s="263">
        <f>AVERAGE(H97:I97)</f>
        <v>4.7349999999999996E-2</v>
      </c>
      <c r="K97" s="187">
        <f>60%*I97+40%*H97</f>
        <v>5.8599999999999992E-2</v>
      </c>
    </row>
    <row r="98" spans="2:11" x14ac:dyDescent="0.25">
      <c r="B98" s="259">
        <v>5</v>
      </c>
      <c r="C98" s="192" t="s">
        <v>108</v>
      </c>
      <c r="D98" s="175">
        <v>7.5600000000000001E-2</v>
      </c>
      <c r="E98" s="175">
        <v>9.3399999999999997E-2</v>
      </c>
      <c r="F98" s="175">
        <v>8.3299999999999999E-2</v>
      </c>
      <c r="G98" s="292" t="s">
        <v>186</v>
      </c>
      <c r="H98" s="175">
        <f>(E98-F98)</f>
        <v>1.0099999999999998E-2</v>
      </c>
      <c r="I98" s="260">
        <f>(D98-E98)</f>
        <v>-1.7799999999999996E-2</v>
      </c>
      <c r="J98" s="263">
        <f>AVERAGE(H98:I98)</f>
        <v>-3.8499999999999993E-3</v>
      </c>
      <c r="K98" s="187">
        <f>60%*I98+40%*H98</f>
        <v>-6.6399999999999975E-3</v>
      </c>
    </row>
    <row r="99" spans="2:11" x14ac:dyDescent="0.25">
      <c r="C99" s="192" t="s">
        <v>100</v>
      </c>
      <c r="D99" s="175">
        <v>2.4400000000000002E-2</v>
      </c>
      <c r="E99" s="175">
        <v>-3.3999999999999998E-3</v>
      </c>
      <c r="F99" s="175">
        <v>3.2000000000000002E-3</v>
      </c>
      <c r="G99" s="292"/>
      <c r="H99"/>
      <c r="I99" s="77"/>
      <c r="J99" s="264"/>
    </row>
    <row r="100" spans="2:11" x14ac:dyDescent="0.25">
      <c r="B100" s="259">
        <v>6</v>
      </c>
      <c r="C100" s="65" t="s">
        <v>109</v>
      </c>
      <c r="D100" s="175">
        <v>0.88160000000000005</v>
      </c>
      <c r="E100" s="175">
        <v>0.99509999999999998</v>
      </c>
      <c r="F100" s="175">
        <v>0.97609999999999997</v>
      </c>
      <c r="G100" s="292" t="s">
        <v>187</v>
      </c>
      <c r="H100" s="175">
        <f>(E100-F100)</f>
        <v>1.9000000000000017E-2</v>
      </c>
      <c r="I100" s="260">
        <f>(D100-E100)</f>
        <v>-0.11349999999999993</v>
      </c>
      <c r="J100" s="263">
        <f>AVERAGE(H100:I100)</f>
        <v>-4.7249999999999959E-2</v>
      </c>
      <c r="K100" s="187">
        <f>60%*I100+40%*H100</f>
        <v>-6.0499999999999943E-2</v>
      </c>
    </row>
    <row r="101" spans="2:11" x14ac:dyDescent="0.25">
      <c r="C101" s="65" t="s">
        <v>110</v>
      </c>
      <c r="D101" s="175">
        <v>7.2900000000000006E-2</v>
      </c>
      <c r="E101" s="175">
        <v>1.3899999999999999E-2</v>
      </c>
      <c r="F101" s="175">
        <v>0</v>
      </c>
      <c r="G101" s="292"/>
      <c r="H101"/>
      <c r="I101" s="77"/>
      <c r="J101" s="264"/>
    </row>
    <row r="102" spans="2:11" x14ac:dyDescent="0.25">
      <c r="C102" s="65" t="s">
        <v>101</v>
      </c>
      <c r="D102" s="175">
        <v>0.95240000000000002</v>
      </c>
      <c r="E102" s="175">
        <v>0.9849</v>
      </c>
      <c r="F102" s="175">
        <v>0.93610000000000004</v>
      </c>
      <c r="G102" s="292"/>
      <c r="H102"/>
      <c r="I102" s="77"/>
      <c r="J102" s="264"/>
    </row>
    <row r="103" spans="2:11" x14ac:dyDescent="0.25">
      <c r="B103" s="259">
        <v>1</v>
      </c>
      <c r="C103" s="79" t="s">
        <v>95</v>
      </c>
      <c r="D103" s="179">
        <f>1061801*1000000</f>
        <v>1061801000000</v>
      </c>
      <c r="E103" s="179">
        <f>874286*1000000</f>
        <v>874286000000</v>
      </c>
      <c r="F103" s="179">
        <f>787449*1000000</f>
        <v>787449000000</v>
      </c>
      <c r="G103" s="292" t="s">
        <v>182</v>
      </c>
      <c r="H103" s="175">
        <f>(E103-F103)/F103</f>
        <v>0.11027634805555661</v>
      </c>
      <c r="I103" s="260">
        <f>(D103-E103)/E103</f>
        <v>0.21447787108566305</v>
      </c>
      <c r="J103" s="265">
        <f>AVERAGE(H103:I103)</f>
        <v>0.16237710957060983</v>
      </c>
      <c r="K103" s="187">
        <f>60%*I103+40%*H103</f>
        <v>0.17279726187362049</v>
      </c>
    </row>
    <row r="104" spans="2:11" x14ac:dyDescent="0.25">
      <c r="C104" s="79"/>
      <c r="D104" s="179"/>
      <c r="E104" s="179"/>
      <c r="F104" s="179"/>
      <c r="H104"/>
      <c r="I104" s="77"/>
    </row>
    <row r="105" spans="2:11" x14ac:dyDescent="0.25">
      <c r="C105" s="189" t="s">
        <v>105</v>
      </c>
      <c r="D105" s="175"/>
      <c r="E105" s="175"/>
      <c r="F105" s="175"/>
      <c r="H105"/>
      <c r="I105" s="77"/>
    </row>
    <row r="106" spans="2:11" x14ac:dyDescent="0.25">
      <c r="C106" s="61" t="s">
        <v>92</v>
      </c>
      <c r="D106" s="176">
        <v>2016</v>
      </c>
      <c r="E106" s="176">
        <v>2015</v>
      </c>
      <c r="F106" s="176">
        <v>2014</v>
      </c>
      <c r="H106" s="66" t="s">
        <v>161</v>
      </c>
      <c r="I106" s="262" t="s">
        <v>162</v>
      </c>
      <c r="J106" s="66" t="s">
        <v>160</v>
      </c>
    </row>
    <row r="107" spans="2:11" x14ac:dyDescent="0.25">
      <c r="B107" s="259">
        <v>2</v>
      </c>
      <c r="C107" s="192" t="s">
        <v>112</v>
      </c>
      <c r="D107" s="175">
        <v>0.55059999999999998</v>
      </c>
      <c r="E107" s="175">
        <v>0.38400000000000001</v>
      </c>
      <c r="F107" s="175">
        <v>0.52129999999999999</v>
      </c>
      <c r="G107" s="292" t="s">
        <v>183</v>
      </c>
      <c r="H107" s="175">
        <f>(E107-F107)</f>
        <v>-0.13729999999999998</v>
      </c>
      <c r="I107" s="260">
        <f>(D107-E107)</f>
        <v>0.16659999999999997</v>
      </c>
      <c r="J107" s="263">
        <f>AVERAGE(H107:I107)</f>
        <v>1.4649999999999996E-2</v>
      </c>
      <c r="K107" s="187">
        <f>60%*I107+40%*H107</f>
        <v>4.5039999999999983E-2</v>
      </c>
    </row>
    <row r="108" spans="2:11" x14ac:dyDescent="0.25">
      <c r="C108" s="192" t="s">
        <v>99</v>
      </c>
      <c r="D108" s="175">
        <v>0.31140000000000001</v>
      </c>
      <c r="E108" s="175">
        <v>0.27700000000000002</v>
      </c>
      <c r="F108" s="175">
        <v>4.4400000000000002E-2</v>
      </c>
      <c r="G108" s="292"/>
      <c r="H108"/>
      <c r="I108" s="77"/>
      <c r="J108" s="264"/>
    </row>
    <row r="109" spans="2:11" x14ac:dyDescent="0.25">
      <c r="B109" s="259">
        <v>7</v>
      </c>
      <c r="C109" s="192" t="s">
        <v>113</v>
      </c>
      <c r="D109" s="175">
        <v>0.31509999999999999</v>
      </c>
      <c r="E109" s="175">
        <v>0.27610000000000001</v>
      </c>
      <c r="F109" s="175">
        <v>4.3200000000000002E-2</v>
      </c>
      <c r="G109" s="292" t="s">
        <v>188</v>
      </c>
      <c r="H109" s="175">
        <f>(E109-F109)</f>
        <v>0.2329</v>
      </c>
      <c r="I109" s="260">
        <f>(D109-E109)</f>
        <v>3.8999999999999979E-2</v>
      </c>
      <c r="J109" s="263">
        <f>AVERAGE(H109:I109)</f>
        <v>0.13594999999999999</v>
      </c>
      <c r="K109" s="187">
        <f>60%*I109+40%*H109</f>
        <v>0.11656</v>
      </c>
    </row>
    <row r="110" spans="2:11" x14ac:dyDescent="0.25">
      <c r="C110" s="192" t="s">
        <v>103</v>
      </c>
      <c r="D110" s="175">
        <v>0.29949999999999999</v>
      </c>
      <c r="E110" s="175">
        <v>0.25729999999999997</v>
      </c>
      <c r="F110" s="175">
        <v>1.54E-2</v>
      </c>
      <c r="G110" s="292"/>
      <c r="H110"/>
      <c r="I110" s="77"/>
      <c r="J110" s="264"/>
    </row>
    <row r="111" spans="2:11" x14ac:dyDescent="0.25">
      <c r="B111" s="259">
        <v>8</v>
      </c>
      <c r="C111" s="192" t="s">
        <v>11</v>
      </c>
      <c r="D111" s="175">
        <v>0.43990000000000001</v>
      </c>
      <c r="E111" s="175">
        <v>0.35149999999999998</v>
      </c>
      <c r="F111" s="175">
        <v>5.04E-2</v>
      </c>
      <c r="G111" s="292" t="s">
        <v>189</v>
      </c>
      <c r="H111" s="175">
        <f>(E111-F111)</f>
        <v>0.30109999999999998</v>
      </c>
      <c r="I111" s="260">
        <f>(D111-E111)</f>
        <v>8.8400000000000034E-2</v>
      </c>
      <c r="J111" s="263">
        <f>AVERAGE(H111:I111)</f>
        <v>0.19475000000000001</v>
      </c>
      <c r="K111" s="187">
        <f>60%*I111+40%*H111</f>
        <v>0.17348000000000002</v>
      </c>
    </row>
    <row r="112" spans="2:11" x14ac:dyDescent="0.25">
      <c r="C112" s="192" t="s">
        <v>97</v>
      </c>
      <c r="D112" s="175">
        <v>4.5999999999999999E-2</v>
      </c>
      <c r="E112" s="175">
        <v>4.9299999999999997E-2</v>
      </c>
      <c r="F112" s="175">
        <v>4.2900000000000001E-2</v>
      </c>
      <c r="G112" s="292"/>
      <c r="H112"/>
      <c r="I112" s="77"/>
      <c r="J112" s="264"/>
    </row>
    <row r="113" spans="2:11" x14ac:dyDescent="0.25">
      <c r="B113" s="259">
        <v>3</v>
      </c>
      <c r="C113" s="192" t="s">
        <v>111</v>
      </c>
      <c r="D113" s="175">
        <v>-9.5100000000000004E-2</v>
      </c>
      <c r="E113" s="175">
        <v>-0.20130000000000001</v>
      </c>
      <c r="F113" s="175">
        <v>3.61E-2</v>
      </c>
      <c r="G113" s="292" t="s">
        <v>184</v>
      </c>
      <c r="H113" s="175">
        <f>(E113-F113)</f>
        <v>-0.2374</v>
      </c>
      <c r="I113" s="260">
        <f>(D113-E113)</f>
        <v>0.1062</v>
      </c>
      <c r="J113" s="263">
        <f>AVERAGE(H113:I113)</f>
        <v>-6.5599999999999992E-2</v>
      </c>
      <c r="K113" s="187">
        <f>60%*I113+40%*H113</f>
        <v>-3.1240000000000004E-2</v>
      </c>
    </row>
    <row r="114" spans="2:11" x14ac:dyDescent="0.25">
      <c r="B114" s="259">
        <v>4</v>
      </c>
      <c r="C114" s="192" t="s">
        <v>107</v>
      </c>
      <c r="D114" s="175">
        <v>-0.2762</v>
      </c>
      <c r="E114" s="175">
        <v>-0.32040000000000002</v>
      </c>
      <c r="F114" s="175">
        <v>6.83E-2</v>
      </c>
      <c r="G114" s="292" t="s">
        <v>185</v>
      </c>
      <c r="H114" s="175">
        <f>(E114-F114)</f>
        <v>-0.38870000000000005</v>
      </c>
      <c r="I114" s="260">
        <f>(D114-E114)</f>
        <v>4.4200000000000017E-2</v>
      </c>
      <c r="J114" s="263">
        <f>AVERAGE(H114:I114)</f>
        <v>-0.17225000000000001</v>
      </c>
      <c r="K114" s="187">
        <f>60%*I114+40%*H114</f>
        <v>-0.12896000000000002</v>
      </c>
    </row>
    <row r="115" spans="2:11" x14ac:dyDescent="0.25">
      <c r="B115" s="259">
        <v>5</v>
      </c>
      <c r="C115" s="192" t="s">
        <v>108</v>
      </c>
      <c r="D115" s="175">
        <v>4.99E-2</v>
      </c>
      <c r="E115" s="175">
        <v>6.54E-2</v>
      </c>
      <c r="F115" s="175">
        <v>6.6500000000000004E-2</v>
      </c>
      <c r="G115" s="292" t="s">
        <v>186</v>
      </c>
      <c r="H115" s="175">
        <f>(E115-F115)</f>
        <v>-1.1000000000000038E-3</v>
      </c>
      <c r="I115" s="260">
        <f>(D115-E115)</f>
        <v>-1.55E-2</v>
      </c>
      <c r="J115" s="263">
        <f>AVERAGE(H115:I115)</f>
        <v>-8.3000000000000018E-3</v>
      </c>
      <c r="K115" s="187">
        <f>60%*I115+40%*H115</f>
        <v>-9.7400000000000004E-3</v>
      </c>
    </row>
    <row r="116" spans="2:11" x14ac:dyDescent="0.25">
      <c r="C116" s="192" t="s">
        <v>100</v>
      </c>
      <c r="D116" s="175">
        <v>-0.1996</v>
      </c>
      <c r="E116" s="175">
        <v>-0.32919999999999999</v>
      </c>
      <c r="F116" s="175">
        <v>-1.46E-2</v>
      </c>
      <c r="G116" s="292"/>
      <c r="H116"/>
      <c r="I116" s="77"/>
      <c r="J116" s="264"/>
    </row>
    <row r="117" spans="2:11" x14ac:dyDescent="0.25">
      <c r="B117" s="259">
        <v>6</v>
      </c>
      <c r="C117" s="65" t="s">
        <v>109</v>
      </c>
      <c r="D117" s="175">
        <v>1.6028</v>
      </c>
      <c r="E117" s="175">
        <v>1.9259999999999999</v>
      </c>
      <c r="F117" s="175">
        <v>0.69620000000000004</v>
      </c>
      <c r="G117" s="292" t="s">
        <v>187</v>
      </c>
      <c r="H117" s="175">
        <f>(E117-F117)</f>
        <v>1.2298</v>
      </c>
      <c r="I117" s="260">
        <f>(D117-E117)</f>
        <v>-0.32319999999999993</v>
      </c>
      <c r="J117" s="263">
        <f>AVERAGE(H117:I117)</f>
        <v>0.45330000000000004</v>
      </c>
      <c r="K117" s="187">
        <f>60%*I117+40%*H117</f>
        <v>0.29800000000000004</v>
      </c>
    </row>
    <row r="118" spans="2:11" x14ac:dyDescent="0.25">
      <c r="C118" s="65" t="s">
        <v>110</v>
      </c>
      <c r="D118" s="175">
        <v>0.2424</v>
      </c>
      <c r="E118" s="175">
        <v>0.18240000000000001</v>
      </c>
      <c r="F118" s="175">
        <v>0.15559999999999999</v>
      </c>
      <c r="G118" s="292"/>
      <c r="H118"/>
      <c r="I118" s="77"/>
      <c r="J118" s="264"/>
    </row>
    <row r="119" spans="2:11" x14ac:dyDescent="0.25">
      <c r="C119" s="65" t="s">
        <v>101</v>
      </c>
      <c r="D119" s="175">
        <v>1.3472999999999999</v>
      </c>
      <c r="E119" s="175">
        <v>1.1053999999999999</v>
      </c>
      <c r="F119" s="175">
        <v>1.5777000000000001</v>
      </c>
      <c r="G119" s="292"/>
      <c r="H119"/>
      <c r="I119" s="77"/>
      <c r="J119" s="264"/>
    </row>
    <row r="120" spans="2:11" x14ac:dyDescent="0.25">
      <c r="B120" s="259">
        <v>1</v>
      </c>
      <c r="C120" s="79" t="s">
        <v>95</v>
      </c>
      <c r="D120" s="179">
        <f>592111*1000000</f>
        <v>592111000000</v>
      </c>
      <c r="E120" s="179">
        <f>754605*1000000</f>
        <v>754605000000</v>
      </c>
      <c r="F120" s="179">
        <f>1048717*1000000</f>
        <v>1048717000000</v>
      </c>
      <c r="G120" s="292" t="s">
        <v>182</v>
      </c>
      <c r="H120" s="175">
        <f>(E120-F120)/F120</f>
        <v>-0.28044934906175834</v>
      </c>
      <c r="I120" s="260">
        <f>(D120-E120)/E120</f>
        <v>-0.21533650055326958</v>
      </c>
      <c r="J120" s="265">
        <f>AVERAGE(H120:I120)</f>
        <v>-0.24789292480751396</v>
      </c>
      <c r="K120" s="187">
        <f>60%*I120+40%*H120</f>
        <v>-0.24138163995666509</v>
      </c>
    </row>
    <row r="121" spans="2:11" x14ac:dyDescent="0.25">
      <c r="C121" s="79"/>
      <c r="D121" s="179"/>
      <c r="E121" s="191"/>
      <c r="F121" s="179"/>
      <c r="H121"/>
      <c r="I121" s="77"/>
    </row>
    <row r="122" spans="2:11" x14ac:dyDescent="0.25">
      <c r="C122" s="190" t="s">
        <v>106</v>
      </c>
      <c r="D122" s="175"/>
      <c r="E122" s="175"/>
      <c r="F122" s="175"/>
      <c r="H122"/>
      <c r="I122" s="77"/>
    </row>
    <row r="123" spans="2:11" x14ac:dyDescent="0.25">
      <c r="C123" s="61" t="s">
        <v>92</v>
      </c>
      <c r="D123" s="176">
        <v>2016</v>
      </c>
      <c r="E123" s="176">
        <v>2015</v>
      </c>
      <c r="F123" s="176">
        <v>2014</v>
      </c>
      <c r="H123" s="66" t="s">
        <v>161</v>
      </c>
      <c r="I123" s="262" t="s">
        <v>162</v>
      </c>
      <c r="J123" s="66" t="s">
        <v>160</v>
      </c>
    </row>
    <row r="124" spans="2:11" x14ac:dyDescent="0.25">
      <c r="B124" s="259">
        <v>2</v>
      </c>
      <c r="C124" s="192" t="s">
        <v>112</v>
      </c>
      <c r="D124" s="187">
        <v>0.1825</v>
      </c>
      <c r="E124" s="187">
        <v>0.2253</v>
      </c>
      <c r="F124" s="187">
        <v>0.1583</v>
      </c>
      <c r="G124" s="292" t="s">
        <v>183</v>
      </c>
      <c r="H124" s="175">
        <f>(E124-F124)</f>
        <v>6.7000000000000004E-2</v>
      </c>
      <c r="I124" s="260">
        <f>(D124-E124)</f>
        <v>-4.2800000000000005E-2</v>
      </c>
      <c r="J124" s="263">
        <f>AVERAGE(H124:I124)</f>
        <v>1.21E-2</v>
      </c>
      <c r="K124" s="187">
        <f>60%*I124+40%*H124</f>
        <v>1.1200000000000029E-3</v>
      </c>
    </row>
    <row r="125" spans="2:11" x14ac:dyDescent="0.25">
      <c r="C125" s="192" t="s">
        <v>99</v>
      </c>
      <c r="D125" s="187">
        <v>0.12</v>
      </c>
      <c r="E125" s="187">
        <v>5.1799999999999999E-2</v>
      </c>
      <c r="F125" s="187">
        <v>4.1500000000000002E-2</v>
      </c>
      <c r="G125" s="292"/>
      <c r="H125"/>
      <c r="I125" s="77"/>
      <c r="J125" s="264"/>
    </row>
    <row r="126" spans="2:11" x14ac:dyDescent="0.25">
      <c r="B126" s="259">
        <v>7</v>
      </c>
      <c r="C126" s="192" t="s">
        <v>113</v>
      </c>
      <c r="D126" s="187">
        <v>0.12970000000000001</v>
      </c>
      <c r="E126" s="187">
        <v>5.6800000000000003E-2</v>
      </c>
      <c r="F126" s="187">
        <v>4.5100000000000001E-2</v>
      </c>
      <c r="G126" s="292" t="s">
        <v>188</v>
      </c>
      <c r="H126" s="175">
        <f>(E126-F126)</f>
        <v>1.1700000000000002E-2</v>
      </c>
      <c r="I126" s="260">
        <f>(D126-E126)</f>
        <v>7.2900000000000006E-2</v>
      </c>
      <c r="J126" s="263">
        <f>AVERAGE(H126:I126)</f>
        <v>4.2300000000000004E-2</v>
      </c>
      <c r="K126" s="187">
        <f>60%*I126+40%*H126</f>
        <v>4.8420000000000005E-2</v>
      </c>
    </row>
    <row r="127" spans="2:11" x14ac:dyDescent="0.25">
      <c r="C127" s="192" t="s">
        <v>103</v>
      </c>
      <c r="D127" s="187">
        <v>9.7900000000000001E-2</v>
      </c>
      <c r="E127" s="187">
        <v>2.4400000000000002E-2</v>
      </c>
      <c r="F127" s="187">
        <v>1.7100000000000001E-2</v>
      </c>
      <c r="G127" s="292"/>
      <c r="H127"/>
      <c r="I127" s="77"/>
      <c r="J127" s="264"/>
    </row>
    <row r="128" spans="2:11" x14ac:dyDescent="0.25">
      <c r="B128" s="259">
        <v>8</v>
      </c>
      <c r="C128" s="192" t="s">
        <v>11</v>
      </c>
      <c r="D128" s="187">
        <v>0.17910000000000001</v>
      </c>
      <c r="E128" s="187">
        <v>6.93E-2</v>
      </c>
      <c r="F128" s="187">
        <v>5.91E-2</v>
      </c>
      <c r="G128" s="292" t="s">
        <v>189</v>
      </c>
      <c r="H128" s="175">
        <f>(E128-F128)</f>
        <v>1.0200000000000001E-2</v>
      </c>
      <c r="I128" s="260">
        <f>(D128-E128)</f>
        <v>0.10980000000000001</v>
      </c>
      <c r="J128" s="263">
        <f>AVERAGE(H128:I128)</f>
        <v>6.0000000000000005E-2</v>
      </c>
      <c r="K128" s="187">
        <f>60%*I128+40%*H128</f>
        <v>6.9960000000000008E-2</v>
      </c>
    </row>
    <row r="129" spans="2:11" x14ac:dyDescent="0.25">
      <c r="C129" s="192" t="s">
        <v>97</v>
      </c>
      <c r="D129" s="187">
        <v>4.9399999999999999E-2</v>
      </c>
      <c r="E129" s="187">
        <v>4.4499999999999998E-2</v>
      </c>
      <c r="F129" s="187">
        <v>3.9300000000000002E-2</v>
      </c>
      <c r="G129" s="292"/>
      <c r="H129"/>
      <c r="I129" s="77"/>
      <c r="J129" s="264"/>
    </row>
    <row r="130" spans="2:11" x14ac:dyDescent="0.25">
      <c r="B130" s="259">
        <v>3</v>
      </c>
      <c r="C130" s="192" t="s">
        <v>111</v>
      </c>
      <c r="D130" s="187">
        <v>-8.09E-2</v>
      </c>
      <c r="E130" s="187">
        <v>2.5000000000000001E-3</v>
      </c>
      <c r="F130" s="187">
        <v>6.8999999999999999E-3</v>
      </c>
      <c r="G130" s="292" t="s">
        <v>184</v>
      </c>
      <c r="H130" s="175">
        <f>(E130-F130)</f>
        <v>-4.3999999999999994E-3</v>
      </c>
      <c r="I130" s="260">
        <f>(D130-E130)</f>
        <v>-8.3400000000000002E-2</v>
      </c>
      <c r="J130" s="263">
        <f>AVERAGE(H130:I130)</f>
        <v>-4.3900000000000002E-2</v>
      </c>
      <c r="K130" s="187">
        <f>60%*I130+40%*H130</f>
        <v>-5.1799999999999999E-2</v>
      </c>
    </row>
    <row r="131" spans="2:11" x14ac:dyDescent="0.25">
      <c r="B131" s="259">
        <v>4</v>
      </c>
      <c r="C131" s="192" t="s">
        <v>107</v>
      </c>
      <c r="D131" s="187">
        <v>-0.49049999999999999</v>
      </c>
      <c r="E131" s="187">
        <v>9.1999999999999998E-3</v>
      </c>
      <c r="F131" s="187">
        <v>3.4700000000000002E-2</v>
      </c>
      <c r="G131" s="292" t="s">
        <v>185</v>
      </c>
      <c r="H131" s="175">
        <f>(E131-F131)</f>
        <v>-2.5500000000000002E-2</v>
      </c>
      <c r="I131" s="260">
        <f>(D131-E131)</f>
        <v>-0.49969999999999998</v>
      </c>
      <c r="J131" s="263">
        <f>AVERAGE(H131:I131)</f>
        <v>-0.2626</v>
      </c>
      <c r="K131" s="187">
        <f>60%*I131+40%*H131</f>
        <v>-0.31001999999999996</v>
      </c>
    </row>
    <row r="132" spans="2:11" x14ac:dyDescent="0.25">
      <c r="B132" s="259">
        <v>5</v>
      </c>
      <c r="C132" s="192" t="s">
        <v>108</v>
      </c>
      <c r="D132" s="187">
        <v>5.16E-2</v>
      </c>
      <c r="E132" s="187">
        <v>5.6800000000000003E-2</v>
      </c>
      <c r="F132" s="187">
        <v>4.8800000000000003E-2</v>
      </c>
      <c r="G132" s="292" t="s">
        <v>186</v>
      </c>
      <c r="H132" s="175">
        <f>(E132-F132)</f>
        <v>8.0000000000000002E-3</v>
      </c>
      <c r="I132" s="260">
        <f>(D132-E132)</f>
        <v>-5.2000000000000032E-3</v>
      </c>
      <c r="J132" s="263">
        <f>AVERAGE(H132:I132)</f>
        <v>1.3999999999999985E-3</v>
      </c>
      <c r="K132" s="187">
        <f>60%*I132+40%*H132</f>
        <v>7.9999999999998475E-5</v>
      </c>
    </row>
    <row r="133" spans="2:11" x14ac:dyDescent="0.25">
      <c r="C133" s="192" t="s">
        <v>100</v>
      </c>
      <c r="D133" s="187">
        <v>-0.27839999999999998</v>
      </c>
      <c r="E133" s="187">
        <v>-2.4500000000000001E-2</v>
      </c>
      <c r="F133" s="187">
        <v>-2.9000000000000001E-2</v>
      </c>
      <c r="G133" s="292"/>
      <c r="H133"/>
      <c r="I133" s="77"/>
      <c r="J133" s="264"/>
    </row>
    <row r="134" spans="2:11" x14ac:dyDescent="0.25">
      <c r="B134" s="259">
        <v>6</v>
      </c>
      <c r="C134" s="65" t="s">
        <v>109</v>
      </c>
      <c r="D134" s="187">
        <v>1.2277</v>
      </c>
      <c r="E134" s="187">
        <v>0.98780000000000001</v>
      </c>
      <c r="F134" s="187">
        <v>0.96940000000000004</v>
      </c>
      <c r="G134" s="292" t="s">
        <v>187</v>
      </c>
      <c r="H134" s="175">
        <f>(E134-F134)</f>
        <v>1.8399999999999972E-2</v>
      </c>
      <c r="I134" s="260">
        <f>(D134-E134)</f>
        <v>0.2399</v>
      </c>
      <c r="J134" s="263">
        <f>AVERAGE(H134:I134)</f>
        <v>0.12914999999999999</v>
      </c>
      <c r="K134" s="187">
        <f>60%*I134+40%*H134</f>
        <v>0.15129999999999996</v>
      </c>
    </row>
    <row r="135" spans="2:11" x14ac:dyDescent="0.25">
      <c r="C135" s="65" t="s">
        <v>110</v>
      </c>
      <c r="D135" s="187">
        <v>0.1958</v>
      </c>
      <c r="E135" s="187">
        <v>0.22589999999999999</v>
      </c>
      <c r="F135" s="187">
        <v>0.29849999999999999</v>
      </c>
      <c r="G135" s="292"/>
      <c r="H135"/>
      <c r="I135" s="77"/>
      <c r="J135" s="264"/>
    </row>
    <row r="136" spans="2:11" x14ac:dyDescent="0.25">
      <c r="C136" s="65" t="s">
        <v>101</v>
      </c>
      <c r="D136" s="187">
        <v>0.98729999999999996</v>
      </c>
      <c r="E136" s="187">
        <v>1.0475000000000001</v>
      </c>
      <c r="F136" s="187">
        <v>0.93689999999999996</v>
      </c>
      <c r="G136" s="292"/>
      <c r="H136"/>
      <c r="I136" s="77"/>
      <c r="J136" s="264"/>
    </row>
    <row r="137" spans="2:11" x14ac:dyDescent="0.25">
      <c r="B137" s="259">
        <v>1</v>
      </c>
      <c r="C137" s="79" t="s">
        <v>95</v>
      </c>
      <c r="D137" s="179">
        <f>876401*1000000</f>
        <v>876401000000</v>
      </c>
      <c r="E137" s="179">
        <f>1043203*1000000</f>
        <v>1043203000000</v>
      </c>
      <c r="F137" s="179">
        <f>631271*1000000</f>
        <v>631271000000</v>
      </c>
      <c r="G137" s="292" t="s">
        <v>182</v>
      </c>
      <c r="H137" s="175">
        <f>(E137-F137)/F137</f>
        <v>0.65254383616545031</v>
      </c>
      <c r="I137" s="260">
        <f>(D137-E137)/E137</f>
        <v>-0.1598940953965815</v>
      </c>
      <c r="J137" s="265">
        <f>AVERAGE(H137:I137)</f>
        <v>0.2463248703844344</v>
      </c>
      <c r="K137" s="187">
        <f>60%*I137+40%*H137</f>
        <v>0.16508107722823123</v>
      </c>
    </row>
    <row r="138" spans="2:11" x14ac:dyDescent="0.25">
      <c r="C138" s="79"/>
      <c r="D138" s="179"/>
      <c r="E138" s="187"/>
      <c r="F138" s="187"/>
      <c r="H138"/>
      <c r="I138" s="77"/>
    </row>
    <row r="139" spans="2:11" x14ac:dyDescent="0.25">
      <c r="C139" s="193" t="s">
        <v>114</v>
      </c>
      <c r="D139" s="175"/>
      <c r="E139" s="175"/>
      <c r="F139" s="175"/>
      <c r="H139"/>
      <c r="I139" s="77"/>
    </row>
    <row r="140" spans="2:11" x14ac:dyDescent="0.25">
      <c r="C140" s="61" t="s">
        <v>92</v>
      </c>
      <c r="D140" s="176">
        <v>2016</v>
      </c>
      <c r="E140" s="176">
        <v>2015</v>
      </c>
      <c r="F140" s="176">
        <v>2014</v>
      </c>
      <c r="H140" s="66" t="s">
        <v>161</v>
      </c>
      <c r="I140" s="262" t="s">
        <v>162</v>
      </c>
      <c r="J140" s="66" t="s">
        <v>160</v>
      </c>
    </row>
    <row r="141" spans="2:11" x14ac:dyDescent="0.25">
      <c r="B141" s="259">
        <v>2</v>
      </c>
      <c r="C141" s="192" t="s">
        <v>112</v>
      </c>
      <c r="D141" s="187">
        <v>0.36780000000000002</v>
      </c>
      <c r="E141" s="187">
        <v>0.4</v>
      </c>
      <c r="F141" s="187">
        <v>0.29599999999999999</v>
      </c>
      <c r="G141" s="292" t="s">
        <v>183</v>
      </c>
      <c r="H141" s="175">
        <f>(E141-F141)</f>
        <v>0.10400000000000004</v>
      </c>
      <c r="I141" s="260">
        <f>(D141-E141)</f>
        <v>-3.2200000000000006E-2</v>
      </c>
      <c r="J141" s="263">
        <f>AVERAGE(H141:I141)</f>
        <v>3.5900000000000015E-2</v>
      </c>
      <c r="K141" s="187">
        <f>60%*I141+40%*H141</f>
        <v>2.2280000000000015E-2</v>
      </c>
    </row>
    <row r="142" spans="2:11" x14ac:dyDescent="0.25">
      <c r="C142" s="192" t="s">
        <v>99</v>
      </c>
      <c r="D142" s="187">
        <v>7.9000000000000008E-3</v>
      </c>
      <c r="E142" s="187">
        <v>3.2000000000000002E-3</v>
      </c>
      <c r="F142" s="187">
        <v>1E-3</v>
      </c>
      <c r="G142" s="292"/>
      <c r="H142"/>
      <c r="I142" s="77"/>
      <c r="J142" s="264"/>
    </row>
    <row r="143" spans="2:11" x14ac:dyDescent="0.25">
      <c r="B143" s="259">
        <v>7</v>
      </c>
      <c r="C143" s="192" t="s">
        <v>113</v>
      </c>
      <c r="D143" s="187">
        <v>7.9000000000000008E-3</v>
      </c>
      <c r="E143" s="187">
        <v>3.2000000000000002E-3</v>
      </c>
      <c r="F143" s="187">
        <v>1E-3</v>
      </c>
      <c r="G143" s="292" t="s">
        <v>188</v>
      </c>
      <c r="H143" s="175">
        <f>(E143-F143)</f>
        <v>2.2000000000000001E-3</v>
      </c>
      <c r="I143" s="260">
        <f>(D143-E143)</f>
        <v>4.7000000000000011E-3</v>
      </c>
      <c r="J143" s="263">
        <f>AVERAGE(H143:I143)</f>
        <v>3.4500000000000008E-3</v>
      </c>
      <c r="K143" s="187">
        <f>60%*I143+40%*H143</f>
        <v>3.7000000000000006E-3</v>
      </c>
    </row>
    <row r="144" spans="2:11" x14ac:dyDescent="0.25">
      <c r="C144" s="192" t="s">
        <v>103</v>
      </c>
      <c r="D144" s="187">
        <v>1.49E-2</v>
      </c>
      <c r="E144" s="187">
        <v>1.24E-2</v>
      </c>
      <c r="F144" s="187">
        <v>7.0000000000000001E-3</v>
      </c>
      <c r="G144" s="292"/>
      <c r="H144"/>
      <c r="I144" s="77"/>
      <c r="J144" s="264"/>
    </row>
    <row r="145" spans="2:11" x14ac:dyDescent="0.25">
      <c r="B145" s="259">
        <v>8</v>
      </c>
      <c r="C145" s="192" t="s">
        <v>11</v>
      </c>
      <c r="D145" s="187">
        <v>5.0000000000000001E-3</v>
      </c>
      <c r="E145" s="187">
        <v>7.0000000000000001E-3</v>
      </c>
      <c r="F145" s="187">
        <v>1E-3</v>
      </c>
      <c r="G145" s="292" t="s">
        <v>189</v>
      </c>
      <c r="H145" s="175">
        <f>(E145-F145)</f>
        <v>6.0000000000000001E-3</v>
      </c>
      <c r="I145" s="260">
        <f>(D145-E145)</f>
        <v>-2E-3</v>
      </c>
      <c r="J145" s="263">
        <f>AVERAGE(H145:I145)</f>
        <v>2E-3</v>
      </c>
      <c r="K145" s="187">
        <f>60%*I145+40%*H145</f>
        <v>1.2000000000000003E-3</v>
      </c>
    </row>
    <row r="146" spans="2:11" x14ac:dyDescent="0.25">
      <c r="C146" s="192" t="s">
        <v>97</v>
      </c>
      <c r="D146" s="187">
        <v>2.0999999999999999E-3</v>
      </c>
      <c r="E146" s="187">
        <v>5.1999999999999998E-3</v>
      </c>
      <c r="F146" s="187">
        <v>1E-3</v>
      </c>
      <c r="G146" s="292"/>
      <c r="H146"/>
      <c r="I146" s="77"/>
      <c r="J146" s="264"/>
    </row>
    <row r="147" spans="2:11" x14ac:dyDescent="0.25">
      <c r="B147" s="259">
        <v>3</v>
      </c>
      <c r="C147" s="192" t="s">
        <v>111</v>
      </c>
      <c r="D147" s="187">
        <v>1.1299999999999999E-2</v>
      </c>
      <c r="E147" s="187">
        <v>9.5999999999999992E-3</v>
      </c>
      <c r="F147" s="187">
        <v>8.0000000000000002E-3</v>
      </c>
      <c r="G147" s="292" t="s">
        <v>184</v>
      </c>
      <c r="H147" s="175">
        <f>(E147-F147)</f>
        <v>1.599999999999999E-3</v>
      </c>
      <c r="I147" s="260">
        <f>(D147-E147)</f>
        <v>1.7000000000000001E-3</v>
      </c>
      <c r="J147" s="263">
        <f>AVERAGE(H147:I147)</f>
        <v>1.6499999999999996E-3</v>
      </c>
      <c r="K147" s="187">
        <f>60%*I147+40%*H147</f>
        <v>1.6599999999999996E-3</v>
      </c>
    </row>
    <row r="148" spans="2:11" x14ac:dyDescent="0.25">
      <c r="B148" s="259">
        <v>4</v>
      </c>
      <c r="C148" s="192" t="s">
        <v>107</v>
      </c>
      <c r="D148" s="187">
        <v>3.4500000000000003E-2</v>
      </c>
      <c r="E148" s="187">
        <v>3.0599999999999999E-2</v>
      </c>
      <c r="F148" s="187">
        <v>2.9000000000000001E-2</v>
      </c>
      <c r="G148" s="292" t="s">
        <v>185</v>
      </c>
      <c r="H148" s="175">
        <f>(E148-F148)</f>
        <v>1.5999999999999973E-3</v>
      </c>
      <c r="I148" s="260">
        <f>(D148-E148)</f>
        <v>3.9000000000000042E-3</v>
      </c>
      <c r="J148" s="263">
        <f>AVERAGE(H148:I148)</f>
        <v>2.7500000000000007E-3</v>
      </c>
      <c r="K148" s="187">
        <f>60%*I148+40%*H148</f>
        <v>2.9800000000000013E-3</v>
      </c>
    </row>
    <row r="149" spans="2:11" x14ac:dyDescent="0.25">
      <c r="B149" s="259">
        <v>5</v>
      </c>
      <c r="C149" s="192" t="s">
        <v>108</v>
      </c>
      <c r="D149" s="187">
        <v>4.8300000000000003E-2</v>
      </c>
      <c r="E149" s="187">
        <v>4.8500000000000001E-2</v>
      </c>
      <c r="F149" s="187">
        <v>0.04</v>
      </c>
      <c r="G149" s="292" t="s">
        <v>186</v>
      </c>
      <c r="H149" s="175">
        <f>(E149-F149)</f>
        <v>8.5000000000000006E-3</v>
      </c>
      <c r="I149" s="260">
        <f>(D149-E149)</f>
        <v>-1.9999999999999879E-4</v>
      </c>
      <c r="J149" s="263">
        <f>AVERAGE(H149:I149)</f>
        <v>4.1500000000000009E-3</v>
      </c>
      <c r="K149" s="187">
        <f>60%*I149+40%*H149</f>
        <v>3.2800000000000008E-3</v>
      </c>
    </row>
    <row r="150" spans="2:11" x14ac:dyDescent="0.25">
      <c r="C150" s="192" t="s">
        <v>100</v>
      </c>
      <c r="D150" s="187">
        <v>1.15E-2</v>
      </c>
      <c r="E150" s="187">
        <v>9.7999999999999997E-3</v>
      </c>
      <c r="F150" s="187">
        <v>8.0000000000000002E-3</v>
      </c>
      <c r="G150" s="292"/>
      <c r="H150"/>
      <c r="I150" s="77"/>
      <c r="J150" s="264"/>
    </row>
    <row r="151" spans="2:11" x14ac:dyDescent="0.25">
      <c r="B151" s="259">
        <v>6</v>
      </c>
      <c r="C151" s="65" t="s">
        <v>109</v>
      </c>
      <c r="D151" s="187">
        <v>0.92179999999999995</v>
      </c>
      <c r="E151" s="187">
        <v>0.92479999999999996</v>
      </c>
      <c r="F151" s="187">
        <v>0.88100000000000001</v>
      </c>
      <c r="G151" s="292" t="s">
        <v>187</v>
      </c>
      <c r="H151" s="175">
        <f>(E151-F151)</f>
        <v>4.379999999999995E-2</v>
      </c>
      <c r="I151" s="260">
        <f>(D151-E151)</f>
        <v>-3.0000000000000027E-3</v>
      </c>
      <c r="J151" s="263">
        <f>AVERAGE(H151:I151)</f>
        <v>2.0399999999999974E-2</v>
      </c>
      <c r="K151" s="187">
        <f>60%*I151+40%*H151</f>
        <v>1.5719999999999977E-2</v>
      </c>
    </row>
    <row r="152" spans="2:11" x14ac:dyDescent="0.25">
      <c r="C152" s="65" t="s">
        <v>110</v>
      </c>
      <c r="D152" s="187">
        <v>0.47549999999999998</v>
      </c>
      <c r="E152" s="187">
        <v>0.4531</v>
      </c>
      <c r="F152" s="187">
        <v>0.47199999999999998</v>
      </c>
      <c r="G152" s="292"/>
      <c r="H152"/>
      <c r="I152" s="77"/>
      <c r="J152" s="264"/>
    </row>
    <row r="153" spans="2:11" x14ac:dyDescent="0.25">
      <c r="C153" s="65" t="s">
        <v>101</v>
      </c>
      <c r="D153" s="187">
        <v>0.9012</v>
      </c>
      <c r="E153" s="187">
        <v>0.91410000000000002</v>
      </c>
      <c r="F153" s="187">
        <v>0.91200000000000003</v>
      </c>
      <c r="G153" s="292"/>
      <c r="H153"/>
      <c r="I153" s="77"/>
      <c r="J153" s="264"/>
    </row>
    <row r="154" spans="2:11" x14ac:dyDescent="0.25">
      <c r="B154" s="259">
        <v>1</v>
      </c>
      <c r="C154" s="79" t="s">
        <v>95</v>
      </c>
      <c r="D154" s="179">
        <f>1127355*1000000</f>
        <v>1127355000000</v>
      </c>
      <c r="E154" s="179">
        <f>1073508*1000000</f>
        <v>1073508000000</v>
      </c>
      <c r="F154" s="179">
        <f>637854*1000000</f>
        <v>637854000000</v>
      </c>
      <c r="G154" s="292" t="s">
        <v>182</v>
      </c>
      <c r="H154" s="175">
        <f>(E154-F154)/F154</f>
        <v>0.68299955789255851</v>
      </c>
      <c r="I154" s="260">
        <f>(D154-E154)/E154</f>
        <v>5.0159849763578845E-2</v>
      </c>
      <c r="J154" s="265">
        <f>AVERAGE(H154:I154)</f>
        <v>0.3665797038280687</v>
      </c>
      <c r="K154" s="187">
        <f>60%*I154+40%*H154</f>
        <v>0.30329573301517071</v>
      </c>
    </row>
    <row r="155" spans="2:11" x14ac:dyDescent="0.25">
      <c r="C155" s="79"/>
      <c r="D155" s="179"/>
      <c r="E155" s="179"/>
      <c r="F155" s="179"/>
      <c r="H155"/>
      <c r="I155" s="77"/>
    </row>
    <row r="156" spans="2:11" x14ac:dyDescent="0.25">
      <c r="C156" s="194" t="s">
        <v>115</v>
      </c>
      <c r="D156" s="175"/>
      <c r="E156" s="175"/>
      <c r="F156" s="175"/>
      <c r="H156"/>
      <c r="I156" s="77"/>
    </row>
    <row r="157" spans="2:11" x14ac:dyDescent="0.25">
      <c r="C157" s="61" t="s">
        <v>92</v>
      </c>
      <c r="D157" s="176">
        <v>2016</v>
      </c>
      <c r="E157" s="176">
        <v>2015</v>
      </c>
      <c r="F157" s="176">
        <v>2014</v>
      </c>
      <c r="H157" s="66" t="s">
        <v>161</v>
      </c>
      <c r="I157" s="262" t="s">
        <v>162</v>
      </c>
      <c r="J157" s="66" t="s">
        <v>160</v>
      </c>
    </row>
    <row r="158" spans="2:11" x14ac:dyDescent="0.25">
      <c r="B158" s="259">
        <v>2</v>
      </c>
      <c r="C158" s="192" t="s">
        <v>112</v>
      </c>
      <c r="D158" s="187">
        <v>0.23799999999999999</v>
      </c>
      <c r="E158" s="187">
        <v>0.1993</v>
      </c>
      <c r="F158" s="187">
        <v>0.32779999999999998</v>
      </c>
      <c r="G158" s="292" t="s">
        <v>183</v>
      </c>
      <c r="H158" s="175">
        <f>(E158-F158)</f>
        <v>-0.12849999999999998</v>
      </c>
      <c r="I158" s="260">
        <f>(D158-E158)</f>
        <v>3.8699999999999984E-2</v>
      </c>
      <c r="J158" s="263">
        <f>AVERAGE(H158:I158)</f>
        <v>-4.4899999999999995E-2</v>
      </c>
      <c r="K158" s="187">
        <f>60%*I158+40%*H158</f>
        <v>-2.8180000000000004E-2</v>
      </c>
    </row>
    <row r="159" spans="2:11" x14ac:dyDescent="0.25">
      <c r="C159" s="192" t="s">
        <v>99</v>
      </c>
      <c r="D159" s="187">
        <v>1.2699999999999999E-2</v>
      </c>
      <c r="E159" s="187">
        <v>1.0800000000000001E-2</v>
      </c>
      <c r="F159" s="187">
        <v>1.03E-2</v>
      </c>
      <c r="G159" s="292"/>
      <c r="H159"/>
      <c r="I159" s="77"/>
      <c r="J159" s="264"/>
    </row>
    <row r="160" spans="2:11" x14ac:dyDescent="0.25">
      <c r="B160" s="259">
        <v>7</v>
      </c>
      <c r="C160" s="192" t="s">
        <v>113</v>
      </c>
      <c r="D160" s="187">
        <v>1.21E-2</v>
      </c>
      <c r="E160" s="187">
        <v>1.01E-2</v>
      </c>
      <c r="F160" s="187">
        <v>1.01E-2</v>
      </c>
      <c r="G160" s="292" t="s">
        <v>188</v>
      </c>
      <c r="H160" s="175">
        <f>(E160-F160)</f>
        <v>0</v>
      </c>
      <c r="I160" s="260">
        <f>(D160-E160)</f>
        <v>2E-3</v>
      </c>
      <c r="J160" s="263">
        <f>AVERAGE(H160:I160)</f>
        <v>1E-3</v>
      </c>
      <c r="K160" s="187">
        <f>60%*I160+40%*H160</f>
        <v>1.1999999999999999E-3</v>
      </c>
    </row>
    <row r="161" spans="2:11" x14ac:dyDescent="0.25">
      <c r="C161" s="192" t="s">
        <v>103</v>
      </c>
      <c r="D161" s="187">
        <v>1.8100000000000002E-2</v>
      </c>
      <c r="E161" s="187">
        <v>1.3599999999999999E-2</v>
      </c>
      <c r="F161" s="187">
        <v>1.3100000000000001E-2</v>
      </c>
      <c r="G161" s="292"/>
      <c r="H161"/>
      <c r="I161" s="77"/>
      <c r="J161" s="264"/>
    </row>
    <row r="162" spans="2:11" x14ac:dyDescent="0.25">
      <c r="B162" s="259">
        <v>8</v>
      </c>
      <c r="C162" s="192" t="s">
        <v>11</v>
      </c>
      <c r="D162" s="187">
        <v>1.5299999999999999E-2</v>
      </c>
      <c r="E162" s="187">
        <v>1.2500000000000001E-2</v>
      </c>
      <c r="F162" s="187">
        <v>1.29E-2</v>
      </c>
      <c r="G162" s="292" t="s">
        <v>189</v>
      </c>
      <c r="H162" s="175">
        <f>(E162-F162)</f>
        <v>-3.9999999999999931E-4</v>
      </c>
      <c r="I162" s="260">
        <f>(D162-E162)</f>
        <v>2.7999999999999987E-3</v>
      </c>
      <c r="J162" s="263">
        <f>AVERAGE(H162:I162)</f>
        <v>1.1999999999999997E-3</v>
      </c>
      <c r="K162" s="187">
        <f>60%*I162+40%*H162</f>
        <v>1.5199999999999994E-3</v>
      </c>
    </row>
    <row r="163" spans="2:11" x14ac:dyDescent="0.25">
      <c r="C163" s="192" t="s">
        <v>97</v>
      </c>
      <c r="D163" s="187">
        <v>2E-3</v>
      </c>
      <c r="E163" s="187">
        <v>1.6999999999999999E-3</v>
      </c>
      <c r="F163" s="187">
        <v>8.6999999999999994E-3</v>
      </c>
      <c r="G163" s="292"/>
      <c r="H163"/>
      <c r="I163" s="77"/>
      <c r="J163" s="264"/>
    </row>
    <row r="164" spans="2:11" x14ac:dyDescent="0.25">
      <c r="B164" s="259">
        <v>3</v>
      </c>
      <c r="C164" s="192" t="s">
        <v>111</v>
      </c>
      <c r="D164" s="187">
        <v>8.9800000000000005E-2</v>
      </c>
      <c r="E164" s="187">
        <v>5.2400000000000002E-2</v>
      </c>
      <c r="F164" s="187">
        <v>4.2299999999999997E-2</v>
      </c>
      <c r="G164" s="292" t="s">
        <v>184</v>
      </c>
      <c r="H164" s="175">
        <f>(E164-F164)</f>
        <v>1.0100000000000005E-2</v>
      </c>
      <c r="I164" s="260">
        <f>(D164-E164)</f>
        <v>3.7400000000000003E-2</v>
      </c>
      <c r="J164" s="263">
        <f>AVERAGE(H164:I164)</f>
        <v>2.3750000000000004E-2</v>
      </c>
      <c r="K164" s="187">
        <f>60%*I164+40%*H164</f>
        <v>2.6480000000000004E-2</v>
      </c>
    </row>
    <row r="165" spans="2:11" x14ac:dyDescent="0.25">
      <c r="B165" s="259">
        <v>4</v>
      </c>
      <c r="C165" s="192" t="s">
        <v>107</v>
      </c>
      <c r="D165" s="187">
        <v>0.31709999999999999</v>
      </c>
      <c r="E165" s="187">
        <v>0.1789</v>
      </c>
      <c r="F165" s="187">
        <v>0.13750000000000001</v>
      </c>
      <c r="G165" s="292" t="s">
        <v>185</v>
      </c>
      <c r="H165" s="175">
        <f>(E165-F165)</f>
        <v>4.1399999999999992E-2</v>
      </c>
      <c r="I165" s="260">
        <f>(D165-E165)</f>
        <v>0.13819999999999999</v>
      </c>
      <c r="J165" s="263">
        <f>AVERAGE(H165:I165)</f>
        <v>8.9799999999999991E-2</v>
      </c>
      <c r="K165" s="187">
        <f>60%*I165+40%*H165</f>
        <v>9.9479999999999985E-2</v>
      </c>
    </row>
    <row r="166" spans="2:11" x14ac:dyDescent="0.25">
      <c r="B166" s="259">
        <v>5</v>
      </c>
      <c r="C166" s="192" t="s">
        <v>108</v>
      </c>
      <c r="D166" s="187">
        <v>0.35780000000000001</v>
      </c>
      <c r="E166" s="187">
        <v>0.34310000000000002</v>
      </c>
      <c r="F166" s="187">
        <v>0.33289999999999997</v>
      </c>
      <c r="G166" s="292" t="s">
        <v>186</v>
      </c>
      <c r="H166" s="175">
        <f>(E166-F166)</f>
        <v>1.0200000000000042E-2</v>
      </c>
      <c r="I166" s="260">
        <f>(D166-E166)</f>
        <v>1.4699999999999991E-2</v>
      </c>
      <c r="J166" s="263">
        <f>AVERAGE(H166:I166)</f>
        <v>1.2450000000000017E-2</v>
      </c>
      <c r="K166" s="187">
        <f>60%*I166+40%*H166</f>
        <v>1.2900000000000012E-2</v>
      </c>
    </row>
    <row r="167" spans="2:11" x14ac:dyDescent="0.25">
      <c r="C167" s="192" t="s">
        <v>100</v>
      </c>
      <c r="D167" s="187">
        <v>0.10199999999999999</v>
      </c>
      <c r="E167" s="187">
        <v>5.7700000000000001E-2</v>
      </c>
      <c r="F167" s="187">
        <v>5.1499999999999997E-2</v>
      </c>
      <c r="G167" s="292"/>
      <c r="H167"/>
      <c r="I167" s="77"/>
      <c r="J167" s="264"/>
    </row>
    <row r="168" spans="2:11" x14ac:dyDescent="0.25">
      <c r="B168" s="259">
        <v>6</v>
      </c>
      <c r="C168" s="65" t="s">
        <v>109</v>
      </c>
      <c r="D168" s="187">
        <v>0.75139999999999996</v>
      </c>
      <c r="E168" s="187">
        <v>0.85319999999999996</v>
      </c>
      <c r="F168" s="187">
        <v>0.87780000000000002</v>
      </c>
      <c r="G168" s="292" t="s">
        <v>187</v>
      </c>
      <c r="H168" s="175">
        <f>(E168-F168)</f>
        <v>-2.4600000000000066E-2</v>
      </c>
      <c r="I168" s="260">
        <f>(D168-E168)</f>
        <v>-0.1018</v>
      </c>
      <c r="J168" s="263">
        <f>AVERAGE(H168:I168)</f>
        <v>-6.3200000000000034E-2</v>
      </c>
      <c r="K168" s="187">
        <f>60%*I168+40%*H168</f>
        <v>-7.0920000000000025E-2</v>
      </c>
    </row>
    <row r="169" spans="2:11" x14ac:dyDescent="0.25">
      <c r="C169" s="65" t="s">
        <v>110</v>
      </c>
      <c r="D169" s="187">
        <v>0</v>
      </c>
      <c r="E169" s="187">
        <v>0</v>
      </c>
      <c r="F169" s="187">
        <v>0</v>
      </c>
      <c r="G169" s="292"/>
      <c r="H169"/>
      <c r="I169" s="77"/>
      <c r="J169" s="264"/>
    </row>
    <row r="170" spans="2:11" x14ac:dyDescent="0.25">
      <c r="C170" s="65" t="s">
        <v>101</v>
      </c>
      <c r="D170" s="187">
        <v>0.92749999999999999</v>
      </c>
      <c r="E170" s="187">
        <v>0.96540000000000004</v>
      </c>
      <c r="F170" s="187">
        <v>0.93969999999999998</v>
      </c>
      <c r="G170" s="292"/>
      <c r="H170"/>
      <c r="I170" s="77"/>
      <c r="J170" s="264"/>
    </row>
    <row r="171" spans="2:11" x14ac:dyDescent="0.25">
      <c r="B171" s="259">
        <v>1</v>
      </c>
      <c r="C171" s="79" t="s">
        <v>95</v>
      </c>
      <c r="D171" s="179">
        <f>1521148*1000000</f>
        <v>1521148000000</v>
      </c>
      <c r="E171" s="179">
        <f>1064003*1000000</f>
        <v>1064003000000</v>
      </c>
      <c r="F171" s="179">
        <f>824139*1000000</f>
        <v>824139000000</v>
      </c>
      <c r="G171" s="292" t="s">
        <v>182</v>
      </c>
      <c r="H171" s="175">
        <f>(E171-F171)/F171</f>
        <v>0.29104799069089071</v>
      </c>
      <c r="I171" s="260">
        <f>(D171-E171)/E171</f>
        <v>0.42964634498211002</v>
      </c>
      <c r="J171" s="265">
        <f>AVERAGE(H171:I171)</f>
        <v>0.36034716783650034</v>
      </c>
      <c r="K171" s="187">
        <f>60%*I171+40%*H171</f>
        <v>0.37420700326562228</v>
      </c>
    </row>
    <row r="172" spans="2:11" x14ac:dyDescent="0.25">
      <c r="C172" s="79"/>
      <c r="D172" s="179"/>
      <c r="E172" s="187"/>
      <c r="F172" s="187"/>
      <c r="H172"/>
      <c r="I172" s="77"/>
    </row>
    <row r="173" spans="2:11" x14ac:dyDescent="0.25">
      <c r="C173" s="195" t="s">
        <v>116</v>
      </c>
      <c r="D173" s="175"/>
      <c r="E173" s="175"/>
      <c r="F173" s="175"/>
      <c r="H173"/>
      <c r="I173" s="77"/>
    </row>
    <row r="174" spans="2:11" x14ac:dyDescent="0.25">
      <c r="C174" s="61" t="s">
        <v>92</v>
      </c>
      <c r="D174" s="176">
        <v>2016</v>
      </c>
      <c r="E174" s="176">
        <v>2015</v>
      </c>
      <c r="F174" s="176">
        <v>2014</v>
      </c>
      <c r="H174" s="66" t="s">
        <v>161</v>
      </c>
      <c r="I174" s="262" t="s">
        <v>162</v>
      </c>
      <c r="J174" s="66" t="s">
        <v>160</v>
      </c>
    </row>
    <row r="175" spans="2:11" x14ac:dyDescent="0.25">
      <c r="B175" s="259">
        <v>2</v>
      </c>
      <c r="C175" s="192" t="s">
        <v>112</v>
      </c>
      <c r="D175" s="187">
        <v>0.1817</v>
      </c>
      <c r="E175" s="187">
        <v>0.20300000000000001</v>
      </c>
      <c r="F175" s="187">
        <v>0.25690000000000002</v>
      </c>
      <c r="G175" s="292" t="s">
        <v>183</v>
      </c>
      <c r="H175" s="175">
        <f>(E175-F175)</f>
        <v>-5.3900000000000003E-2</v>
      </c>
      <c r="I175" s="260">
        <f>(D175-E175)</f>
        <v>-2.1300000000000013E-2</v>
      </c>
      <c r="J175" s="263">
        <f>AVERAGE(H175:I175)</f>
        <v>-3.7600000000000008E-2</v>
      </c>
      <c r="K175" s="187">
        <f>60%*I175+40%*H175</f>
        <v>-3.4340000000000009E-2</v>
      </c>
    </row>
    <row r="176" spans="2:11" x14ac:dyDescent="0.25">
      <c r="C176" s="192" t="s">
        <v>99</v>
      </c>
      <c r="D176" s="187">
        <v>1.7600000000000001E-2</v>
      </c>
      <c r="E176" s="187">
        <v>2.2100000000000002E-2</v>
      </c>
      <c r="F176" s="187">
        <v>6.3E-3</v>
      </c>
      <c r="G176" s="292"/>
      <c r="H176"/>
      <c r="I176" s="77"/>
      <c r="J176" s="264"/>
    </row>
    <row r="177" spans="2:11" x14ac:dyDescent="0.25">
      <c r="B177" s="259">
        <v>7</v>
      </c>
      <c r="C177" s="192" t="s">
        <v>113</v>
      </c>
      <c r="D177" s="187">
        <v>1.7600000000000001E-2</v>
      </c>
      <c r="E177" s="187">
        <v>2.2100000000000002E-2</v>
      </c>
      <c r="F177" s="187">
        <v>6.3E-3</v>
      </c>
      <c r="G177" s="292" t="s">
        <v>188</v>
      </c>
      <c r="H177" s="175">
        <f>(E177-F177)</f>
        <v>1.5800000000000002E-2</v>
      </c>
      <c r="I177" s="260">
        <f>(D177-E177)</f>
        <v>-4.5000000000000005E-3</v>
      </c>
      <c r="J177" s="263">
        <f>AVERAGE(H177:I177)</f>
        <v>5.6500000000000005E-3</v>
      </c>
      <c r="K177" s="187">
        <f>60%*I177+40%*H177</f>
        <v>3.6200000000000008E-3</v>
      </c>
    </row>
    <row r="178" spans="2:11" x14ac:dyDescent="0.25">
      <c r="C178" s="192" t="s">
        <v>103</v>
      </c>
      <c r="D178" s="187">
        <v>1.0200000000000001E-2</v>
      </c>
      <c r="E178" s="187">
        <v>8.0999999999999996E-3</v>
      </c>
      <c r="F178" s="187">
        <v>9.2999999999999992E-3</v>
      </c>
      <c r="G178" s="292"/>
      <c r="H178"/>
      <c r="I178" s="77"/>
      <c r="J178" s="264"/>
    </row>
    <row r="179" spans="2:11" x14ac:dyDescent="0.25">
      <c r="B179" s="259">
        <v>8</v>
      </c>
      <c r="C179" s="192" t="s">
        <v>11</v>
      </c>
      <c r="D179" s="187">
        <v>2.2599999999999999E-2</v>
      </c>
      <c r="E179" s="187">
        <v>2.63E-2</v>
      </c>
      <c r="F179" s="187">
        <v>5.3E-3</v>
      </c>
      <c r="G179" s="292" t="s">
        <v>189</v>
      </c>
      <c r="H179" s="175">
        <f>(E179-F179)</f>
        <v>2.1000000000000001E-2</v>
      </c>
      <c r="I179" s="260">
        <f>(D179-E179)</f>
        <v>-3.7000000000000019E-3</v>
      </c>
      <c r="J179" s="263">
        <f>AVERAGE(H179:I179)</f>
        <v>8.6499999999999997E-3</v>
      </c>
      <c r="K179" s="187">
        <f>60%*I179+40%*H179</f>
        <v>6.1799999999999997E-3</v>
      </c>
    </row>
    <row r="180" spans="2:11" x14ac:dyDescent="0.25">
      <c r="C180" s="192" t="s">
        <v>97</v>
      </c>
      <c r="D180" s="187">
        <v>1.8599999999999998E-2</v>
      </c>
      <c r="E180" s="187">
        <v>1.9400000000000001E-2</v>
      </c>
      <c r="F180" s="187">
        <v>2.8999999999999998E-3</v>
      </c>
      <c r="G180" s="292"/>
      <c r="H180"/>
      <c r="I180" s="77"/>
      <c r="J180" s="264"/>
    </row>
    <row r="181" spans="2:11" x14ac:dyDescent="0.25">
      <c r="B181" s="259">
        <v>3</v>
      </c>
      <c r="C181" s="192" t="s">
        <v>111</v>
      </c>
      <c r="D181" s="187">
        <v>3.7000000000000002E-3</v>
      </c>
      <c r="E181" s="187">
        <v>1.12E-2</v>
      </c>
      <c r="F181" s="187">
        <v>1.9900000000000001E-2</v>
      </c>
      <c r="G181" s="292" t="s">
        <v>184</v>
      </c>
      <c r="H181" s="175">
        <f>(E181-F181)</f>
        <v>-8.7000000000000011E-3</v>
      </c>
      <c r="I181" s="260">
        <f>(D181-E181)</f>
        <v>-7.4999999999999997E-3</v>
      </c>
      <c r="J181" s="263">
        <f>AVERAGE(H181:I181)</f>
        <v>-8.0999999999999996E-3</v>
      </c>
      <c r="K181" s="187">
        <f>60%*I181+40%*H181</f>
        <v>-7.980000000000001E-3</v>
      </c>
    </row>
    <row r="182" spans="2:11" x14ac:dyDescent="0.25">
      <c r="B182" s="259">
        <v>4</v>
      </c>
      <c r="C182" s="192" t="s">
        <v>107</v>
      </c>
      <c r="D182" s="187">
        <v>1.7600000000000001E-2</v>
      </c>
      <c r="E182" s="187">
        <v>4.9399999999999999E-2</v>
      </c>
      <c r="F182" s="187">
        <v>7.0099999999999996E-2</v>
      </c>
      <c r="G182" s="292" t="s">
        <v>185</v>
      </c>
      <c r="H182" s="175">
        <f>(E182-F182)</f>
        <v>-2.0699999999999996E-2</v>
      </c>
      <c r="I182" s="260">
        <f>(D182-E182)</f>
        <v>-3.1799999999999995E-2</v>
      </c>
      <c r="J182" s="263">
        <f>AVERAGE(H182:I182)</f>
        <v>-2.6249999999999996E-2</v>
      </c>
      <c r="K182" s="187">
        <f>60%*I182+40%*H182</f>
        <v>-2.7359999999999995E-2</v>
      </c>
    </row>
    <row r="183" spans="2:11" x14ac:dyDescent="0.25">
      <c r="B183" s="259">
        <v>5</v>
      </c>
      <c r="C183" s="192" t="s">
        <v>108</v>
      </c>
      <c r="D183" s="187">
        <v>3.49E-2</v>
      </c>
      <c r="E183" s="187">
        <v>3.8199999999999998E-2</v>
      </c>
      <c r="F183" s="187">
        <v>4.3799999999999999E-2</v>
      </c>
      <c r="G183" s="292" t="s">
        <v>186</v>
      </c>
      <c r="H183" s="175">
        <f>(E183-F183)</f>
        <v>-5.6000000000000008E-3</v>
      </c>
      <c r="I183" s="260">
        <f>(D183-E183)</f>
        <v>-3.2999999999999974E-3</v>
      </c>
      <c r="J183" s="263">
        <f>AVERAGE(H183:I183)</f>
        <v>-4.4499999999999991E-3</v>
      </c>
      <c r="K183" s="187">
        <f>60%*I183+40%*H183</f>
        <v>-4.2199999999999981E-3</v>
      </c>
    </row>
    <row r="184" spans="2:11" x14ac:dyDescent="0.25">
      <c r="C184" s="192" t="s">
        <v>100</v>
      </c>
      <c r="D184" s="187">
        <v>5.0000000000000001E-4</v>
      </c>
      <c r="E184" s="187">
        <v>8.6E-3</v>
      </c>
      <c r="F184" s="187">
        <v>1.3599999999999999E-2</v>
      </c>
      <c r="G184" s="292"/>
      <c r="H184"/>
      <c r="I184" s="77"/>
      <c r="J184" s="264"/>
    </row>
    <row r="185" spans="2:11" x14ac:dyDescent="0.25">
      <c r="B185" s="259">
        <v>6</v>
      </c>
      <c r="C185" s="65" t="s">
        <v>109</v>
      </c>
      <c r="D185" s="187">
        <v>0.9617</v>
      </c>
      <c r="E185" s="187">
        <v>0.89329999999999998</v>
      </c>
      <c r="F185" s="187">
        <v>0.82579999999999998</v>
      </c>
      <c r="G185" s="292" t="s">
        <v>187</v>
      </c>
      <c r="H185" s="175">
        <f>(E185-F185)</f>
        <v>6.7500000000000004E-2</v>
      </c>
      <c r="I185" s="260">
        <f>(D185-E185)</f>
        <v>6.8400000000000016E-2</v>
      </c>
      <c r="J185" s="263">
        <f>AVERAGE(H185:I185)</f>
        <v>6.795000000000001E-2</v>
      </c>
      <c r="K185" s="187">
        <f>60%*I185+40%*H185</f>
        <v>6.8040000000000017E-2</v>
      </c>
    </row>
    <row r="186" spans="2:11" x14ac:dyDescent="0.25">
      <c r="C186" s="65" t="s">
        <v>110</v>
      </c>
      <c r="D186" s="187">
        <v>0.83850000000000002</v>
      </c>
      <c r="E186" s="187">
        <v>0.90559999999999996</v>
      </c>
      <c r="F186" s="187">
        <v>0.86670000000000003</v>
      </c>
      <c r="G186" s="292"/>
      <c r="H186"/>
      <c r="I186" s="77"/>
      <c r="J186" s="264"/>
    </row>
    <row r="187" spans="2:11" x14ac:dyDescent="0.25">
      <c r="C187" s="65" t="s">
        <v>101</v>
      </c>
      <c r="D187" s="187">
        <v>0.91990000000000005</v>
      </c>
      <c r="E187" s="187">
        <v>0.96430000000000005</v>
      </c>
      <c r="F187" s="187">
        <v>0.94040000000000001</v>
      </c>
      <c r="G187" s="292"/>
      <c r="H187"/>
      <c r="I187" s="77"/>
      <c r="J187" s="264"/>
    </row>
    <row r="188" spans="2:11" x14ac:dyDescent="0.25">
      <c r="B188" s="259">
        <v>1</v>
      </c>
      <c r="C188" s="79" t="s">
        <v>95</v>
      </c>
      <c r="D188" s="179">
        <f>1187941*1000000</f>
        <v>1187941000000</v>
      </c>
      <c r="E188" s="179">
        <f>1155491*1000000</f>
        <v>1155491000000</v>
      </c>
      <c r="F188" s="179">
        <f>1076315*1000000</f>
        <v>1076315000000</v>
      </c>
      <c r="G188" s="292" t="s">
        <v>182</v>
      </c>
      <c r="H188" s="175">
        <f>(E188-F188)/F188</f>
        <v>7.3562107747267291E-2</v>
      </c>
      <c r="I188" s="260">
        <f>(D188-E188)/E188</f>
        <v>2.8083299653567186E-2</v>
      </c>
      <c r="J188" s="265">
        <f>AVERAGE(H188:I188)</f>
        <v>5.0822703700417235E-2</v>
      </c>
      <c r="K188" s="187">
        <f>60%*I188+40%*H188</f>
        <v>4.6274822891047229E-2</v>
      </c>
    </row>
    <row r="189" spans="2:11" x14ac:dyDescent="0.25">
      <c r="F189" s="179"/>
      <c r="H189"/>
      <c r="I189" s="77"/>
    </row>
    <row r="190" spans="2:11" x14ac:dyDescent="0.25">
      <c r="C190" s="196" t="s">
        <v>117</v>
      </c>
      <c r="D190" s="175"/>
      <c r="E190" s="175"/>
      <c r="F190" s="175"/>
      <c r="H190"/>
      <c r="I190" s="77"/>
    </row>
    <row r="191" spans="2:11" x14ac:dyDescent="0.25">
      <c r="C191" s="61" t="s">
        <v>92</v>
      </c>
      <c r="D191" s="176">
        <v>2016</v>
      </c>
      <c r="E191" s="176">
        <v>2015</v>
      </c>
      <c r="F191" s="176">
        <v>2014</v>
      </c>
      <c r="H191" s="66" t="s">
        <v>161</v>
      </c>
      <c r="I191" s="262" t="s">
        <v>162</v>
      </c>
      <c r="J191" s="66" t="s">
        <v>160</v>
      </c>
    </row>
    <row r="192" spans="2:11" x14ac:dyDescent="0.25">
      <c r="B192" s="259">
        <v>2</v>
      </c>
      <c r="C192" s="192" t="s">
        <v>112</v>
      </c>
      <c r="D192" s="187">
        <v>0.1598</v>
      </c>
      <c r="E192" s="187">
        <v>0.16139999999999999</v>
      </c>
      <c r="F192" s="187">
        <v>0.1527</v>
      </c>
      <c r="G192" s="292" t="s">
        <v>183</v>
      </c>
      <c r="H192" s="175">
        <f>(E192-F192)</f>
        <v>8.6999999999999855E-3</v>
      </c>
      <c r="I192" s="260">
        <f>(D192-E192)</f>
        <v>-1.5999999999999903E-3</v>
      </c>
      <c r="J192" s="263">
        <f>AVERAGE(H192:I192)</f>
        <v>3.5499999999999976E-3</v>
      </c>
      <c r="K192" s="187">
        <f>60%*I192+40%*H192</f>
        <v>2.5200000000000001E-3</v>
      </c>
    </row>
    <row r="193" spans="2:16" x14ac:dyDescent="0.25">
      <c r="C193" s="192" t="s">
        <v>99</v>
      </c>
      <c r="D193" s="187">
        <v>6.2399999999999997E-2</v>
      </c>
      <c r="E193" s="187">
        <v>6.5699999999999995E-2</v>
      </c>
      <c r="F193" s="187">
        <v>6.7000000000000004E-2</v>
      </c>
      <c r="G193" s="292"/>
      <c r="H193"/>
      <c r="I193" s="77"/>
      <c r="J193" s="264"/>
    </row>
    <row r="194" spans="2:16" x14ac:dyDescent="0.25">
      <c r="B194" s="259">
        <v>7</v>
      </c>
      <c r="C194" s="192" t="s">
        <v>113</v>
      </c>
      <c r="D194" s="187">
        <v>5.67E-2</v>
      </c>
      <c r="E194" s="187">
        <v>5.62E-2</v>
      </c>
      <c r="F194" s="187">
        <v>5.9200000000000003E-2</v>
      </c>
      <c r="G194" s="292" t="s">
        <v>188</v>
      </c>
      <c r="H194" s="175">
        <f>(E194-F194)</f>
        <v>-3.0000000000000027E-3</v>
      </c>
      <c r="I194" s="260">
        <f>(D194-E194)</f>
        <v>5.0000000000000044E-4</v>
      </c>
      <c r="J194" s="263">
        <f>AVERAGE(H194:I194)</f>
        <v>-1.2500000000000011E-3</v>
      </c>
      <c r="K194" s="187">
        <f>60%*I194+40%*H194</f>
        <v>-9.0000000000000095E-4</v>
      </c>
    </row>
    <row r="195" spans="2:16" x14ac:dyDescent="0.25">
      <c r="C195" s="192" t="s">
        <v>103</v>
      </c>
      <c r="D195" s="187">
        <v>2.75E-2</v>
      </c>
      <c r="E195" s="187">
        <v>4.58E-2</v>
      </c>
      <c r="F195" s="187">
        <v>2.7099999999999999E-2</v>
      </c>
      <c r="G195" s="292"/>
      <c r="H195"/>
      <c r="I195" s="77"/>
      <c r="J195" s="264"/>
    </row>
    <row r="196" spans="2:16" x14ac:dyDescent="0.25">
      <c r="B196" s="259">
        <v>8</v>
      </c>
      <c r="C196" s="192" t="s">
        <v>11</v>
      </c>
      <c r="D196" s="187">
        <v>7.2099999999999997E-2</v>
      </c>
      <c r="E196" s="187">
        <v>9.8000000000000004E-2</v>
      </c>
      <c r="F196" s="187">
        <v>7.0999999999999994E-2</v>
      </c>
      <c r="G196" s="292" t="s">
        <v>189</v>
      </c>
      <c r="H196" s="175">
        <f>(E196-F196)</f>
        <v>2.700000000000001E-2</v>
      </c>
      <c r="I196" s="260">
        <f>(D196-E196)</f>
        <v>-2.5900000000000006E-2</v>
      </c>
      <c r="J196" s="263">
        <f>AVERAGE(H196:I196)</f>
        <v>5.5000000000000188E-4</v>
      </c>
      <c r="K196" s="187">
        <f>60%*I196+40%*H196</f>
        <v>-4.7399999999999994E-3</v>
      </c>
    </row>
    <row r="197" spans="2:16" x14ac:dyDescent="0.25">
      <c r="C197" s="192" t="s">
        <v>97</v>
      </c>
      <c r="D197" s="187">
        <v>4.3499999999999997E-2</v>
      </c>
      <c r="E197" s="187">
        <v>4.82E-2</v>
      </c>
      <c r="F197" s="187">
        <v>4.7500000000000001E-2</v>
      </c>
      <c r="G197" s="292"/>
      <c r="H197"/>
      <c r="I197" s="77"/>
      <c r="J197" s="264"/>
    </row>
    <row r="198" spans="2:16" x14ac:dyDescent="0.25">
      <c r="B198" s="259">
        <v>3</v>
      </c>
      <c r="C198" s="192" t="s">
        <v>111</v>
      </c>
      <c r="D198" s="187">
        <v>-2.1899999999999999E-2</v>
      </c>
      <c r="E198" s="187">
        <v>-2.3599999999999999E-2</v>
      </c>
      <c r="F198" s="187">
        <v>-1.8700000000000001E-2</v>
      </c>
      <c r="G198" s="292" t="s">
        <v>184</v>
      </c>
      <c r="H198" s="175">
        <f>(E198-F198)</f>
        <v>-4.8999999999999981E-3</v>
      </c>
      <c r="I198" s="260">
        <f>(D198-E198)</f>
        <v>1.7000000000000001E-3</v>
      </c>
      <c r="J198" s="263">
        <f>AVERAGE(H198:I198)</f>
        <v>-1.599999999999999E-3</v>
      </c>
      <c r="K198" s="187">
        <f>60%*I198+40%*H198</f>
        <v>-9.3999999999999943E-4</v>
      </c>
    </row>
    <row r="199" spans="2:16" x14ac:dyDescent="0.25">
      <c r="B199" s="259">
        <v>4</v>
      </c>
      <c r="C199" s="192" t="s">
        <v>107</v>
      </c>
      <c r="D199" s="187">
        <v>-0.17449999999999999</v>
      </c>
      <c r="E199" s="187">
        <v>-0.15060000000000001</v>
      </c>
      <c r="F199" s="187">
        <v>-0.17610000000000001</v>
      </c>
      <c r="G199" s="292" t="s">
        <v>185</v>
      </c>
      <c r="H199" s="175">
        <f>(E199-F199)</f>
        <v>2.5499999999999995E-2</v>
      </c>
      <c r="I199" s="260">
        <f>(D199-E199)</f>
        <v>-2.3899999999999977E-2</v>
      </c>
      <c r="J199" s="263">
        <f>AVERAGE(H199:I199)</f>
        <v>8.0000000000000904E-4</v>
      </c>
      <c r="K199" s="187">
        <f>60%*I199+40%*H199</f>
        <v>-4.1399999999999857E-3</v>
      </c>
    </row>
    <row r="200" spans="2:16" x14ac:dyDescent="0.25">
      <c r="B200" s="259">
        <v>5</v>
      </c>
      <c r="C200" s="192" t="s">
        <v>108</v>
      </c>
      <c r="D200" s="187">
        <v>2.63E-2</v>
      </c>
      <c r="E200" s="187">
        <v>2.8000000000000001E-2</v>
      </c>
      <c r="F200" s="187">
        <v>3.3399999999999999E-2</v>
      </c>
      <c r="G200" s="292" t="s">
        <v>186</v>
      </c>
      <c r="H200" s="175">
        <f>(E200-F200)</f>
        <v>-5.3999999999999986E-3</v>
      </c>
      <c r="I200" s="260">
        <f>(D200-E200)</f>
        <v>-1.7000000000000001E-3</v>
      </c>
      <c r="J200" s="263">
        <f>AVERAGE(H200:I200)</f>
        <v>-3.5499999999999993E-3</v>
      </c>
      <c r="K200" s="187">
        <f>60%*I200+40%*H200</f>
        <v>-3.1799999999999997E-3</v>
      </c>
    </row>
    <row r="201" spans="2:16" x14ac:dyDescent="0.25">
      <c r="C201" s="192" t="s">
        <v>100</v>
      </c>
      <c r="D201" s="187">
        <v>-3.1699999999999999E-2</v>
      </c>
      <c r="E201" s="187">
        <v>-4.6300000000000001E-2</v>
      </c>
      <c r="F201" s="187">
        <v>-0.02</v>
      </c>
      <c r="G201" s="292"/>
      <c r="H201"/>
      <c r="I201" s="77"/>
      <c r="J201" s="264"/>
    </row>
    <row r="202" spans="2:16" x14ac:dyDescent="0.25">
      <c r="B202" s="259">
        <v>6</v>
      </c>
      <c r="C202" s="65" t="s">
        <v>109</v>
      </c>
      <c r="D202" s="187">
        <v>1.3133999999999999</v>
      </c>
      <c r="E202" s="187">
        <v>1.1919</v>
      </c>
      <c r="F202" s="187">
        <v>1.4331</v>
      </c>
      <c r="G202" s="292" t="s">
        <v>187</v>
      </c>
      <c r="H202" s="175">
        <f>(E202-F202)</f>
        <v>-0.24120000000000008</v>
      </c>
      <c r="I202" s="260">
        <f>(D202-E202)</f>
        <v>0.12149999999999994</v>
      </c>
      <c r="J202" s="263">
        <f>AVERAGE(H202:I202)</f>
        <v>-5.985000000000007E-2</v>
      </c>
      <c r="K202" s="187">
        <f>60%*I202+40%*H202</f>
        <v>-2.3580000000000073E-2</v>
      </c>
    </row>
    <row r="203" spans="2:16" x14ac:dyDescent="0.25">
      <c r="C203" s="65" t="s">
        <v>110</v>
      </c>
      <c r="D203" s="187">
        <v>0.78310000000000002</v>
      </c>
      <c r="E203" s="187">
        <v>0.66239999999999999</v>
      </c>
      <c r="F203" s="187">
        <v>0.56130000000000002</v>
      </c>
      <c r="G203" s="292"/>
      <c r="H203"/>
      <c r="I203" s="77"/>
      <c r="J203" s="264"/>
    </row>
    <row r="204" spans="2:16" x14ac:dyDescent="0.25">
      <c r="C204" s="65" t="s">
        <v>101</v>
      </c>
      <c r="D204" s="187">
        <v>1.0066999999999999</v>
      </c>
      <c r="E204" s="187">
        <v>0.95289999999999997</v>
      </c>
      <c r="F204" s="187">
        <v>0.95189999999999997</v>
      </c>
      <c r="G204" s="292"/>
      <c r="H204"/>
      <c r="I204" s="77"/>
      <c r="J204" s="264"/>
    </row>
    <row r="205" spans="2:16" x14ac:dyDescent="0.25">
      <c r="B205" s="259">
        <v>1</v>
      </c>
      <c r="C205" s="79" t="s">
        <v>95</v>
      </c>
      <c r="D205" s="179">
        <f>194329*1000000</f>
        <v>194329000000</v>
      </c>
      <c r="E205" s="179">
        <f>162652*1000000</f>
        <v>162652000000</v>
      </c>
      <c r="F205" s="179">
        <f>186368*1000000</f>
        <v>186368000000</v>
      </c>
      <c r="G205" s="292" t="s">
        <v>182</v>
      </c>
      <c r="H205" s="175">
        <f>(E205-F205)/F205</f>
        <v>-0.12725360576923078</v>
      </c>
      <c r="I205" s="260">
        <f>(D205-E205)/E205</f>
        <v>0.19475321545385241</v>
      </c>
      <c r="J205" s="265">
        <f>AVERAGE(H205:I205)</f>
        <v>3.3749804842310813E-2</v>
      </c>
      <c r="K205" s="187">
        <f>60%*I205+40%*H205</f>
        <v>6.5950486964619137E-2</v>
      </c>
    </row>
    <row r="206" spans="2:16" x14ac:dyDescent="0.25">
      <c r="C206" s="79"/>
      <c r="D206" s="179"/>
      <c r="E206" s="179"/>
      <c r="F206" s="179"/>
    </row>
    <row r="207" spans="2:16" x14ac:dyDescent="0.25">
      <c r="C207" s="79"/>
      <c r="D207" s="179"/>
      <c r="E207" s="200" t="s">
        <v>158</v>
      </c>
      <c r="F207" s="200" t="s">
        <v>158</v>
      </c>
      <c r="G207" s="200" t="s">
        <v>158</v>
      </c>
      <c r="H207" s="200" t="s">
        <v>158</v>
      </c>
      <c r="I207" s="200" t="s">
        <v>158</v>
      </c>
      <c r="J207" s="200" t="s">
        <v>158</v>
      </c>
      <c r="K207" s="200" t="s">
        <v>158</v>
      </c>
      <c r="L207" s="200" t="s">
        <v>158</v>
      </c>
      <c r="M207" s="200" t="s">
        <v>158</v>
      </c>
      <c r="N207" s="200" t="s">
        <v>158</v>
      </c>
      <c r="O207" s="200" t="s">
        <v>158</v>
      </c>
      <c r="P207" s="200" t="s">
        <v>158</v>
      </c>
    </row>
    <row r="208" spans="2:16" x14ac:dyDescent="0.25">
      <c r="C208" s="144" t="s">
        <v>118</v>
      </c>
      <c r="D208" s="202" t="s">
        <v>119</v>
      </c>
      <c r="E208" s="180" t="s">
        <v>0</v>
      </c>
      <c r="F208" s="184" t="s">
        <v>93</v>
      </c>
      <c r="G208" s="185" t="s">
        <v>96</v>
      </c>
      <c r="H208" s="186" t="s">
        <v>98</v>
      </c>
      <c r="I208" s="188" t="s">
        <v>102</v>
      </c>
      <c r="J208" s="189" t="s">
        <v>104</v>
      </c>
      <c r="K208" s="189" t="s">
        <v>105</v>
      </c>
      <c r="L208" s="190" t="s">
        <v>106</v>
      </c>
      <c r="M208" s="193" t="s">
        <v>114</v>
      </c>
      <c r="N208" s="194" t="s">
        <v>115</v>
      </c>
      <c r="O208" s="195" t="s">
        <v>116</v>
      </c>
      <c r="P208" s="196" t="s">
        <v>117</v>
      </c>
    </row>
    <row r="209" spans="3:16" x14ac:dyDescent="0.25">
      <c r="C209" t="s">
        <v>26</v>
      </c>
      <c r="D209" s="79" t="s">
        <v>95</v>
      </c>
      <c r="E209" s="187">
        <f t="shared" ref="E209:E216" si="0">VLOOKUP(D209,$C$4:$K$17,7,0)</f>
        <v>2.8464200764401704E-2</v>
      </c>
      <c r="F209" s="187">
        <f t="shared" ref="F209:F216" si="1">VLOOKUP(D209,$C$21:$K$34,7,0)</f>
        <v>3.3139498237544425E-2</v>
      </c>
      <c r="G209" s="187">
        <f t="shared" ref="G209:G216" si="2">VLOOKUP(D209,$C$39:$J$52,7,0)</f>
        <v>0.12226977268152395</v>
      </c>
      <c r="H209" s="187">
        <f t="shared" ref="H209:H216" si="3">VLOOKUP(D209,$C$56:$J$69,7,0)</f>
        <v>0.47974030928851352</v>
      </c>
      <c r="I209" s="187">
        <f t="shared" ref="I209:I216" si="4">VLOOKUP(D209,$C$73:$J$86,7,0)</f>
        <v>0.26139542524439924</v>
      </c>
      <c r="J209" s="187">
        <f t="shared" ref="J209:J216" si="5">VLOOKUP(D209,$C$90:$J$103,7,0)</f>
        <v>0.21447787108566305</v>
      </c>
      <c r="K209" s="187">
        <f t="shared" ref="K209:K216" si="6">VLOOKUP(D209,$C$107:$J$120,7,0)</f>
        <v>-0.21533650055326958</v>
      </c>
      <c r="L209" s="187">
        <f t="shared" ref="L209:L216" si="7">VLOOKUP(D209,$C$124:$J$137,7,0)</f>
        <v>-0.1598940953965815</v>
      </c>
      <c r="M209" s="187">
        <f t="shared" ref="M209:M216" si="8">VLOOKUP(D209,$C$141:$J$154,7,0)</f>
        <v>5.0159849763578845E-2</v>
      </c>
      <c r="N209" s="187">
        <f t="shared" ref="N209:N216" si="9">VLOOKUP(D209,$C$158:$J$171,7,0)</f>
        <v>0.42964634498211002</v>
      </c>
      <c r="O209" s="187">
        <f t="shared" ref="O209:O216" si="10">VLOOKUP(D209,$C$175:$J$188,7,0)</f>
        <v>2.8083299653567186E-2</v>
      </c>
      <c r="P209" s="187">
        <f t="shared" ref="P209:P216" si="11">VLOOKUP(D209,$C$192:$J$205,7,0)</f>
        <v>0.19475321545385241</v>
      </c>
    </row>
    <row r="210" spans="3:16" x14ac:dyDescent="0.25">
      <c r="C210" t="s">
        <v>27</v>
      </c>
      <c r="D210" s="192" t="s">
        <v>112</v>
      </c>
      <c r="E210" s="187">
        <f t="shared" si="0"/>
        <v>3.8000000000000117E-3</v>
      </c>
      <c r="F210" s="187">
        <f t="shared" si="1"/>
        <v>1.1599999999999999E-2</v>
      </c>
      <c r="G210" s="187">
        <f t="shared" si="2"/>
        <v>-5.5999999999999939E-3</v>
      </c>
      <c r="H210" s="187">
        <f t="shared" si="3"/>
        <v>6.6900000000000015E-2</v>
      </c>
      <c r="I210" s="187">
        <f t="shared" si="4"/>
        <v>6.9000000000000172E-3</v>
      </c>
      <c r="J210" s="187">
        <f t="shared" si="5"/>
        <v>4.7899999999999998E-2</v>
      </c>
      <c r="K210" s="187">
        <f t="shared" si="6"/>
        <v>0.16659999999999997</v>
      </c>
      <c r="L210" s="187">
        <f t="shared" si="7"/>
        <v>-4.2800000000000005E-2</v>
      </c>
      <c r="M210" s="187">
        <f t="shared" si="8"/>
        <v>-3.2200000000000006E-2</v>
      </c>
      <c r="N210" s="187">
        <f t="shared" si="9"/>
        <v>3.8699999999999984E-2</v>
      </c>
      <c r="O210" s="187">
        <f t="shared" si="10"/>
        <v>-2.1300000000000013E-2</v>
      </c>
      <c r="P210" s="187">
        <f t="shared" si="11"/>
        <v>-1.5999999999999903E-3</v>
      </c>
    </row>
    <row r="211" spans="3:16" x14ac:dyDescent="0.25">
      <c r="C211" t="s">
        <v>29</v>
      </c>
      <c r="D211" s="192" t="s">
        <v>111</v>
      </c>
      <c r="E211" s="187">
        <f t="shared" si="0"/>
        <v>2.0000000000000009E-4</v>
      </c>
      <c r="F211" s="187">
        <f t="shared" si="1"/>
        <v>2.9999999999999992E-4</v>
      </c>
      <c r="G211" s="187">
        <f t="shared" si="2"/>
        <v>9.9999999999999395E-5</v>
      </c>
      <c r="H211" s="187">
        <f t="shared" si="3"/>
        <v>1.7999999999999995E-3</v>
      </c>
      <c r="I211" s="187">
        <f t="shared" si="4"/>
        <v>-3.0000000000000079E-4</v>
      </c>
      <c r="J211" s="187">
        <f t="shared" si="5"/>
        <v>2.3300000000000001E-2</v>
      </c>
      <c r="K211" s="187">
        <f t="shared" si="6"/>
        <v>0.1062</v>
      </c>
      <c r="L211" s="187">
        <f t="shared" si="7"/>
        <v>-8.3400000000000002E-2</v>
      </c>
      <c r="M211" s="187">
        <f t="shared" si="8"/>
        <v>1.7000000000000001E-3</v>
      </c>
      <c r="N211" s="187">
        <f t="shared" si="9"/>
        <v>3.7400000000000003E-2</v>
      </c>
      <c r="O211" s="187">
        <f t="shared" si="10"/>
        <v>-7.4999999999999997E-3</v>
      </c>
      <c r="P211" s="187">
        <f t="shared" si="11"/>
        <v>1.7000000000000001E-3</v>
      </c>
    </row>
    <row r="212" spans="3:16" x14ac:dyDescent="0.25">
      <c r="C212" t="s">
        <v>30</v>
      </c>
      <c r="D212" s="192" t="s">
        <v>107</v>
      </c>
      <c r="E212" s="187">
        <f t="shared" si="0"/>
        <v>2.2000000000000006E-3</v>
      </c>
      <c r="F212" s="187">
        <f t="shared" si="1"/>
        <v>-1.1000000000000038E-3</v>
      </c>
      <c r="G212" s="187">
        <f t="shared" si="2"/>
        <v>5.5000000000000049E-3</v>
      </c>
      <c r="H212" s="187">
        <f t="shared" si="3"/>
        <v>1.0700000000000001E-2</v>
      </c>
      <c r="I212" s="187">
        <f t="shared" si="4"/>
        <v>-2.0000000000000018E-3</v>
      </c>
      <c r="J212" s="187">
        <f t="shared" si="5"/>
        <v>0.1036</v>
      </c>
      <c r="K212" s="187">
        <f t="shared" si="6"/>
        <v>4.4200000000000017E-2</v>
      </c>
      <c r="L212" s="187">
        <f t="shared" si="7"/>
        <v>-0.49969999999999998</v>
      </c>
      <c r="M212" s="187">
        <f t="shared" si="8"/>
        <v>3.9000000000000042E-3</v>
      </c>
      <c r="N212" s="187">
        <f t="shared" si="9"/>
        <v>0.13819999999999999</v>
      </c>
      <c r="O212" s="187">
        <f t="shared" si="10"/>
        <v>-3.1799999999999995E-2</v>
      </c>
      <c r="P212" s="187">
        <f t="shared" si="11"/>
        <v>-2.3899999999999977E-2</v>
      </c>
    </row>
    <row r="213" spans="3:16" x14ac:dyDescent="0.25">
      <c r="C213" t="s">
        <v>31</v>
      </c>
      <c r="D213" s="192" t="s">
        <v>108</v>
      </c>
      <c r="E213" s="187">
        <f t="shared" si="0"/>
        <v>-6.1999999999999972E-3</v>
      </c>
      <c r="F213" s="187">
        <f t="shared" si="1"/>
        <v>-3.699999999999995E-3</v>
      </c>
      <c r="G213" s="187">
        <f t="shared" si="2"/>
        <v>6.999999999999923E-4</v>
      </c>
      <c r="H213" s="187">
        <f t="shared" si="3"/>
        <v>0</v>
      </c>
      <c r="I213" s="187">
        <f t="shared" si="4"/>
        <v>1.7000000000000001E-3</v>
      </c>
      <c r="J213" s="187">
        <f t="shared" si="5"/>
        <v>-1.7799999999999996E-2</v>
      </c>
      <c r="K213" s="187">
        <f t="shared" si="6"/>
        <v>-1.55E-2</v>
      </c>
      <c r="L213" s="187">
        <f t="shared" si="7"/>
        <v>-5.2000000000000032E-3</v>
      </c>
      <c r="M213" s="187">
        <f t="shared" si="8"/>
        <v>-1.9999999999999879E-4</v>
      </c>
      <c r="N213" s="187">
        <f t="shared" si="9"/>
        <v>1.4699999999999991E-2</v>
      </c>
      <c r="O213" s="187">
        <f t="shared" si="10"/>
        <v>-3.2999999999999974E-3</v>
      </c>
      <c r="P213" s="187">
        <f t="shared" si="11"/>
        <v>-1.7000000000000001E-3</v>
      </c>
    </row>
    <row r="214" spans="3:16" x14ac:dyDescent="0.25">
      <c r="C214" t="s">
        <v>32</v>
      </c>
      <c r="D214" s="65" t="s">
        <v>109</v>
      </c>
      <c r="E214" s="187">
        <f t="shared" si="0"/>
        <v>3.5000000000000586E-3</v>
      </c>
      <c r="F214" s="187">
        <f t="shared" si="1"/>
        <v>-3.3999999999999586E-3</v>
      </c>
      <c r="G214" s="187">
        <f t="shared" si="2"/>
        <v>-1.9599999999999951E-2</v>
      </c>
      <c r="H214" s="187">
        <f t="shared" si="3"/>
        <v>-2.4599999999999955E-2</v>
      </c>
      <c r="I214" s="187">
        <f t="shared" si="4"/>
        <v>-2.3000000000000798E-3</v>
      </c>
      <c r="J214" s="187">
        <f t="shared" si="5"/>
        <v>-0.11349999999999993</v>
      </c>
      <c r="K214" s="187">
        <f t="shared" si="6"/>
        <v>-0.32319999999999993</v>
      </c>
      <c r="L214" s="187">
        <f t="shared" si="7"/>
        <v>0.2399</v>
      </c>
      <c r="M214" s="187">
        <f t="shared" si="8"/>
        <v>-3.0000000000000027E-3</v>
      </c>
      <c r="N214" s="187">
        <f t="shared" si="9"/>
        <v>-0.1018</v>
      </c>
      <c r="O214" s="187">
        <f t="shared" si="10"/>
        <v>6.8400000000000016E-2</v>
      </c>
      <c r="P214" s="187">
        <f t="shared" si="11"/>
        <v>0.12149999999999994</v>
      </c>
    </row>
    <row r="215" spans="3:16" x14ac:dyDescent="0.25">
      <c r="C215" t="s">
        <v>34</v>
      </c>
      <c r="D215" s="192" t="s">
        <v>113</v>
      </c>
      <c r="E215" s="187">
        <f t="shared" si="0"/>
        <v>-2.7099999999999999E-2</v>
      </c>
      <c r="F215" s="187">
        <f t="shared" si="1"/>
        <v>-1.0499999999999995E-2</v>
      </c>
      <c r="G215" s="187">
        <f t="shared" si="2"/>
        <v>2.1000000000000012E-3</v>
      </c>
      <c r="H215" s="187">
        <f t="shared" si="3"/>
        <v>-3.4999999999999962E-3</v>
      </c>
      <c r="I215" s="187">
        <f t="shared" si="4"/>
        <v>-5.0000000000000044E-4</v>
      </c>
      <c r="J215" s="187">
        <f t="shared" si="5"/>
        <v>-9.4000000000000021E-3</v>
      </c>
      <c r="K215" s="187">
        <f t="shared" si="6"/>
        <v>3.8999999999999979E-2</v>
      </c>
      <c r="L215" s="187">
        <f t="shared" si="7"/>
        <v>7.2900000000000006E-2</v>
      </c>
      <c r="M215" s="187">
        <f t="shared" si="8"/>
        <v>4.7000000000000011E-3</v>
      </c>
      <c r="N215" s="187">
        <f t="shared" si="9"/>
        <v>2E-3</v>
      </c>
      <c r="O215" s="187">
        <f t="shared" si="10"/>
        <v>-4.5000000000000005E-3</v>
      </c>
      <c r="P215" s="187">
        <f t="shared" si="11"/>
        <v>5.0000000000000044E-4</v>
      </c>
    </row>
    <row r="216" spans="3:16" x14ac:dyDescent="0.25">
      <c r="C216" s="65" t="s">
        <v>35</v>
      </c>
      <c r="D216" s="192" t="s">
        <v>11</v>
      </c>
      <c r="E216" s="187">
        <f t="shared" si="0"/>
        <v>-3.2799999999999996E-2</v>
      </c>
      <c r="F216" s="187">
        <f t="shared" si="1"/>
        <v>-1.14E-2</v>
      </c>
      <c r="G216" s="187">
        <f t="shared" si="2"/>
        <v>4.0999999999999995E-3</v>
      </c>
      <c r="H216" s="187">
        <f t="shared" si="3"/>
        <v>-2.8999999999999998E-3</v>
      </c>
      <c r="I216" s="187">
        <f t="shared" si="4"/>
        <v>1.7999999999999995E-3</v>
      </c>
      <c r="J216" s="187">
        <f t="shared" si="5"/>
        <v>-9.5999999999999974E-3</v>
      </c>
      <c r="K216" s="187">
        <f t="shared" si="6"/>
        <v>8.8400000000000034E-2</v>
      </c>
      <c r="L216" s="187">
        <f t="shared" si="7"/>
        <v>0.10980000000000001</v>
      </c>
      <c r="M216" s="187">
        <f t="shared" si="8"/>
        <v>-2E-3</v>
      </c>
      <c r="N216" s="187">
        <f t="shared" si="9"/>
        <v>2.7999999999999987E-3</v>
      </c>
      <c r="O216" s="187">
        <f t="shared" si="10"/>
        <v>-3.7000000000000019E-3</v>
      </c>
      <c r="P216" s="187">
        <f t="shared" si="11"/>
        <v>-2.5900000000000006E-2</v>
      </c>
    </row>
    <row r="217" spans="3:16" x14ac:dyDescent="0.25">
      <c r="C217" s="65"/>
      <c r="D217" s="65"/>
      <c r="E217" s="187"/>
      <c r="F217" s="187"/>
      <c r="G217" s="187"/>
      <c r="H217" s="201"/>
      <c r="I217" s="187"/>
      <c r="J217" s="187"/>
      <c r="K217" s="187"/>
      <c r="L217" s="187"/>
      <c r="M217" s="187"/>
      <c r="N217" s="187"/>
      <c r="O217" s="187"/>
      <c r="P217" s="187"/>
    </row>
    <row r="218" spans="3:16" x14ac:dyDescent="0.25">
      <c r="C218" s="79"/>
      <c r="D218" s="179"/>
      <c r="E218" s="179"/>
      <c r="F218" s="179"/>
      <c r="J218" s="192"/>
    </row>
    <row r="219" spans="3:16" x14ac:dyDescent="0.25">
      <c r="C219" s="79"/>
      <c r="D219" s="179"/>
      <c r="E219" s="179"/>
      <c r="F219" s="179"/>
    </row>
    <row r="220" spans="3:16" x14ac:dyDescent="0.25">
      <c r="D220" s="264" t="s">
        <v>26</v>
      </c>
      <c r="E220" t="s">
        <v>27</v>
      </c>
      <c r="F220" t="s">
        <v>29</v>
      </c>
      <c r="G220" t="s">
        <v>30</v>
      </c>
      <c r="H220" s="266" t="s">
        <v>31</v>
      </c>
      <c r="I220" t="s">
        <v>32</v>
      </c>
      <c r="J220" t="s">
        <v>34</v>
      </c>
      <c r="K220" t="s">
        <v>35</v>
      </c>
    </row>
    <row r="221" spans="3:16" x14ac:dyDescent="0.25">
      <c r="D221" s="267">
        <v>-3.4254159380696814E-2</v>
      </c>
      <c r="E221" s="267">
        <v>-5.8499999999999941E-3</v>
      </c>
      <c r="F221" s="267">
        <v>2.5000000000000011E-4</v>
      </c>
      <c r="G221" s="267">
        <v>4.0000000000000001E-3</v>
      </c>
      <c r="H221" s="268">
        <v>3.4999999999999962E-4</v>
      </c>
      <c r="I221" s="267">
        <v>0.16475000000000001</v>
      </c>
      <c r="J221" s="267">
        <v>-8.150000000000001E-3</v>
      </c>
      <c r="K221" s="267">
        <v>-1.3600000000000001E-2</v>
      </c>
      <c r="L221" s="187"/>
    </row>
    <row r="222" spans="3:16" x14ac:dyDescent="0.25">
      <c r="D222" s="267">
        <v>9.7182357687049428E-2</v>
      </c>
      <c r="E222" s="267">
        <v>-5.4999999999999494E-4</v>
      </c>
      <c r="F222" s="267">
        <v>3.15E-3</v>
      </c>
      <c r="G222" s="267">
        <v>3.3750000000000002E-2</v>
      </c>
      <c r="H222" s="268">
        <v>-1.9999999999999879E-4</v>
      </c>
      <c r="I222" s="267">
        <v>-3.0799999999999994E-2</v>
      </c>
      <c r="J222" s="267">
        <v>-8.2500000000000004E-3</v>
      </c>
      <c r="K222" s="267">
        <v>-9.6000000000000009E-3</v>
      </c>
      <c r="L222" s="187"/>
    </row>
    <row r="223" spans="3:16" x14ac:dyDescent="0.25">
      <c r="D223" s="267">
        <v>0.11384503093568962</v>
      </c>
      <c r="E223" s="267">
        <v>-6.6999999999999976E-3</v>
      </c>
      <c r="F223" s="267">
        <v>8.5000000000000006E-4</v>
      </c>
      <c r="G223" s="267">
        <v>5.5500000000000063E-3</v>
      </c>
      <c r="H223" s="268">
        <v>8.4999999999999659E-4</v>
      </c>
      <c r="I223" s="267">
        <v>-1.0649999999999993E-2</v>
      </c>
      <c r="J223" s="267">
        <v>4.1500000000000009E-3</v>
      </c>
      <c r="K223" s="267">
        <v>5.4000000000000003E-3</v>
      </c>
      <c r="L223" s="187"/>
    </row>
    <row r="224" spans="3:16" x14ac:dyDescent="0.25">
      <c r="D224" s="267">
        <v>0.40289608375810348</v>
      </c>
      <c r="E224" s="267">
        <v>3.8700000000000012E-2</v>
      </c>
      <c r="F224" s="267">
        <v>4.3499999999999997E-3</v>
      </c>
      <c r="G224" s="267">
        <v>3.4799999999999998E-2</v>
      </c>
      <c r="H224" s="268">
        <v>1.6999999999999967E-3</v>
      </c>
      <c r="I224" s="267">
        <v>-3.9049999999999974E-2</v>
      </c>
      <c r="J224" s="267">
        <v>-2.8000000000000004E-3</v>
      </c>
      <c r="K224" s="267">
        <v>-1.5000000000000083E-4</v>
      </c>
      <c r="L224" s="187"/>
    </row>
    <row r="225" spans="2:12" x14ac:dyDescent="0.25">
      <c r="D225" s="267">
        <v>0.25921391390368831</v>
      </c>
      <c r="E225" s="267">
        <v>1.100000000000001E-2</v>
      </c>
      <c r="F225" s="267">
        <v>2.4499999999999999E-3</v>
      </c>
      <c r="G225" s="267">
        <v>1.3799999999999998E-2</v>
      </c>
      <c r="H225" s="268">
        <v>2.7999999999999987E-3</v>
      </c>
      <c r="I225" s="267">
        <v>-2.5050000000000017E-2</v>
      </c>
      <c r="J225" s="267">
        <v>-4.349999999999998E-3</v>
      </c>
      <c r="K225" s="267">
        <v>-4.5000000000000005E-3</v>
      </c>
      <c r="L225" s="187"/>
    </row>
    <row r="226" spans="2:12" x14ac:dyDescent="0.25">
      <c r="D226" s="267">
        <v>0.16237710957060983</v>
      </c>
      <c r="E226" s="267">
        <v>2.3550000000000001E-2</v>
      </c>
      <c r="F226" s="267">
        <v>1.17E-2</v>
      </c>
      <c r="G226" s="267">
        <v>4.7349999999999996E-2</v>
      </c>
      <c r="H226" s="268">
        <v>-3.8499999999999993E-3</v>
      </c>
      <c r="I226" s="267">
        <v>-4.7249999999999959E-2</v>
      </c>
      <c r="J226" s="267">
        <v>-2.1999999999999988E-3</v>
      </c>
      <c r="K226" s="267">
        <v>-2.9499999999999978E-3</v>
      </c>
      <c r="L226" s="187"/>
    </row>
    <row r="227" spans="2:12" x14ac:dyDescent="0.25">
      <c r="D227" s="267">
        <v>-0.24789292480751396</v>
      </c>
      <c r="E227" s="267">
        <v>1.4649999999999996E-2</v>
      </c>
      <c r="F227" s="267">
        <v>-6.5599999999999992E-2</v>
      </c>
      <c r="G227" s="267">
        <v>-0.17225000000000001</v>
      </c>
      <c r="H227" s="268">
        <v>-8.3000000000000018E-3</v>
      </c>
      <c r="I227" s="267">
        <v>0.45330000000000004</v>
      </c>
      <c r="J227" s="267">
        <v>0.13594999999999999</v>
      </c>
      <c r="K227" s="267">
        <v>0.19475000000000001</v>
      </c>
      <c r="L227" s="187"/>
    </row>
    <row r="228" spans="2:12" x14ac:dyDescent="0.25">
      <c r="D228" s="267">
        <v>0.2463248703844344</v>
      </c>
      <c r="E228" s="267">
        <v>1.21E-2</v>
      </c>
      <c r="F228" s="267">
        <v>-4.3900000000000002E-2</v>
      </c>
      <c r="G228" s="267">
        <v>-0.2626</v>
      </c>
      <c r="H228" s="268">
        <v>1.3999999999999985E-3</v>
      </c>
      <c r="I228" s="267">
        <v>0.12914999999999999</v>
      </c>
      <c r="J228" s="267">
        <v>4.2300000000000004E-2</v>
      </c>
      <c r="K228" s="267">
        <v>6.0000000000000005E-2</v>
      </c>
      <c r="L228" s="187"/>
    </row>
    <row r="229" spans="2:12" x14ac:dyDescent="0.25">
      <c r="D229" s="267">
        <v>0.3665797038280687</v>
      </c>
      <c r="E229" s="267">
        <v>3.5900000000000015E-2</v>
      </c>
      <c r="F229" s="267">
        <v>1.6499999999999996E-3</v>
      </c>
      <c r="G229" s="267">
        <v>2.7500000000000007E-3</v>
      </c>
      <c r="H229" s="268">
        <v>4.1500000000000009E-3</v>
      </c>
      <c r="I229" s="267">
        <v>2.0399999999999974E-2</v>
      </c>
      <c r="J229" s="267">
        <v>3.4500000000000008E-3</v>
      </c>
      <c r="K229" s="267">
        <v>2E-3</v>
      </c>
      <c r="L229" s="187"/>
    </row>
    <row r="230" spans="2:12" x14ac:dyDescent="0.25">
      <c r="D230" s="267">
        <v>0.36034716783650034</v>
      </c>
      <c r="E230" s="267">
        <v>-4.4899999999999995E-2</v>
      </c>
      <c r="F230" s="267">
        <v>2.3750000000000004E-2</v>
      </c>
      <c r="G230" s="267">
        <v>8.9799999999999991E-2</v>
      </c>
      <c r="H230" s="268">
        <v>1.2450000000000017E-2</v>
      </c>
      <c r="I230" s="267">
        <v>-6.3200000000000034E-2</v>
      </c>
      <c r="J230" s="267">
        <v>1E-3</v>
      </c>
      <c r="K230" s="267">
        <v>1.1999999999999997E-3</v>
      </c>
      <c r="L230" s="187"/>
    </row>
    <row r="231" spans="2:12" x14ac:dyDescent="0.25">
      <c r="D231" s="267">
        <v>5.0822703700417235E-2</v>
      </c>
      <c r="E231" s="267">
        <v>-3.7600000000000008E-2</v>
      </c>
      <c r="F231" s="267">
        <v>-8.0999999999999996E-3</v>
      </c>
      <c r="G231" s="267">
        <v>-2.6249999999999996E-2</v>
      </c>
      <c r="H231" s="268">
        <v>-4.4499999999999991E-3</v>
      </c>
      <c r="I231" s="267">
        <v>6.795000000000001E-2</v>
      </c>
      <c r="J231" s="267">
        <v>5.6500000000000005E-3</v>
      </c>
      <c r="K231" s="267">
        <v>8.6499999999999997E-3</v>
      </c>
      <c r="L231" s="187"/>
    </row>
    <row r="232" spans="2:12" x14ac:dyDescent="0.25">
      <c r="D232" s="267">
        <v>3.3749804842310813E-2</v>
      </c>
      <c r="E232" s="267">
        <v>3.5499999999999976E-3</v>
      </c>
      <c r="F232" s="267">
        <v>-1.599999999999999E-3</v>
      </c>
      <c r="G232" s="267">
        <v>8.0000000000000904E-4</v>
      </c>
      <c r="H232" s="268">
        <v>-3.5499999999999993E-3</v>
      </c>
      <c r="I232" s="267">
        <v>-5.985000000000007E-2</v>
      </c>
      <c r="J232" s="267">
        <v>-1.2500000000000011E-3</v>
      </c>
      <c r="K232" s="267">
        <v>5.5000000000000188E-4</v>
      </c>
      <c r="L232" s="187"/>
    </row>
    <row r="234" spans="2:12" ht="15.75" customHeight="1" thickBot="1" x14ac:dyDescent="0.3">
      <c r="B234" s="332" t="s">
        <v>129</v>
      </c>
      <c r="C234" s="333"/>
      <c r="D234" s="333"/>
      <c r="E234" s="333"/>
      <c r="F234" s="333"/>
      <c r="G234" s="333"/>
      <c r="H234" s="333"/>
      <c r="I234" s="333"/>
      <c r="J234" s="333"/>
      <c r="K234" s="333"/>
      <c r="L234" s="269"/>
    </row>
    <row r="235" spans="2:12" ht="15.75" thickBot="1" x14ac:dyDescent="0.3">
      <c r="B235" s="270"/>
      <c r="C235" s="271"/>
      <c r="D235" s="272" t="s">
        <v>163</v>
      </c>
      <c r="E235" s="273" t="s">
        <v>164</v>
      </c>
      <c r="F235" s="273" t="s">
        <v>165</v>
      </c>
      <c r="G235" s="273" t="s">
        <v>166</v>
      </c>
      <c r="H235" s="273" t="s">
        <v>167</v>
      </c>
      <c r="I235" s="273" t="s">
        <v>168</v>
      </c>
      <c r="J235" s="273" t="s">
        <v>169</v>
      </c>
      <c r="K235" s="274" t="s">
        <v>170</v>
      </c>
      <c r="L235" s="269"/>
    </row>
    <row r="236" spans="2:12" x14ac:dyDescent="0.25">
      <c r="B236" s="334" t="s">
        <v>171</v>
      </c>
      <c r="C236" s="335"/>
      <c r="D236" s="275">
        <v>10</v>
      </c>
      <c r="E236" s="276">
        <v>7</v>
      </c>
      <c r="F236" s="276">
        <v>8</v>
      </c>
      <c r="G236" s="276">
        <v>9</v>
      </c>
      <c r="H236" s="276">
        <v>7</v>
      </c>
      <c r="I236" s="276">
        <v>5</v>
      </c>
      <c r="J236" s="276">
        <v>6</v>
      </c>
      <c r="K236" s="277">
        <v>7</v>
      </c>
      <c r="L236" s="269"/>
    </row>
    <row r="237" spans="2:12" ht="15" customHeight="1" x14ac:dyDescent="0.25">
      <c r="B237" s="336" t="s">
        <v>172</v>
      </c>
      <c r="C237" s="278" t="s">
        <v>173</v>
      </c>
      <c r="D237" s="279">
        <v>0.20929999999999999</v>
      </c>
      <c r="E237" s="280">
        <v>2.0142857142857146E-2</v>
      </c>
      <c r="F237" s="280">
        <v>6.0000000000000001E-3</v>
      </c>
      <c r="G237" s="280">
        <v>2.6000000000000002E-2</v>
      </c>
      <c r="H237" s="280">
        <v>3.2857142857142855E-3</v>
      </c>
      <c r="I237" s="280">
        <v>0.16699999999999998</v>
      </c>
      <c r="J237" s="280">
        <v>3.2000000000000008E-2</v>
      </c>
      <c r="K237" s="281">
        <v>3.9E-2</v>
      </c>
      <c r="L237" s="269"/>
    </row>
    <row r="238" spans="2:12" x14ac:dyDescent="0.25">
      <c r="B238" s="337"/>
      <c r="C238" s="278" t="s">
        <v>174</v>
      </c>
      <c r="D238" s="282">
        <v>0.13688442002084988</v>
      </c>
      <c r="E238" s="283">
        <v>1.3284434142114988E-2</v>
      </c>
      <c r="F238" s="283">
        <v>8.1591316064535055E-3</v>
      </c>
      <c r="G238" s="283">
        <v>2.9291637031753619E-2</v>
      </c>
      <c r="H238" s="283">
        <v>4.0708019567928591E-3</v>
      </c>
      <c r="I238" s="283">
        <v>0.16930298284436696</v>
      </c>
      <c r="J238" s="283">
        <v>5.3250352111511905E-2</v>
      </c>
      <c r="K238" s="284">
        <v>7.1983794472552404E-2</v>
      </c>
      <c r="L238" s="269"/>
    </row>
    <row r="239" spans="2:12" ht="15" customHeight="1" x14ac:dyDescent="0.25">
      <c r="B239" s="338" t="s">
        <v>175</v>
      </c>
      <c r="C239" s="278" t="s">
        <v>176</v>
      </c>
      <c r="D239" s="285">
        <v>0.16453617636499437</v>
      </c>
      <c r="E239" s="286">
        <v>0.22210009575193415</v>
      </c>
      <c r="F239" s="286">
        <v>0.34681983840019459</v>
      </c>
      <c r="G239" s="286">
        <v>0.21453272608805177</v>
      </c>
      <c r="H239" s="286">
        <v>0.28749975583853565</v>
      </c>
      <c r="I239" s="286">
        <v>0.30471265178133272</v>
      </c>
      <c r="J239" s="286">
        <v>0.35398370898558218</v>
      </c>
      <c r="K239" s="287">
        <v>0.37585890468650091</v>
      </c>
      <c r="L239" s="269"/>
    </row>
    <row r="240" spans="2:12" x14ac:dyDescent="0.25">
      <c r="B240" s="337"/>
      <c r="C240" s="278" t="s">
        <v>177</v>
      </c>
      <c r="D240" s="285">
        <v>0.15685064610625526</v>
      </c>
      <c r="E240" s="286">
        <v>0.22210009575193415</v>
      </c>
      <c r="F240" s="286">
        <v>0.34681983840019459</v>
      </c>
      <c r="G240" s="286">
        <v>0.21453272608805177</v>
      </c>
      <c r="H240" s="286">
        <v>0.28749975583853565</v>
      </c>
      <c r="I240" s="286">
        <v>0.30471265178133272</v>
      </c>
      <c r="J240" s="286">
        <v>0.35398370898558218</v>
      </c>
      <c r="K240" s="287">
        <v>0.37585890468650091</v>
      </c>
      <c r="L240" s="269"/>
    </row>
    <row r="241" spans="1:13" x14ac:dyDescent="0.25">
      <c r="B241" s="337"/>
      <c r="C241" s="278" t="s">
        <v>178</v>
      </c>
      <c r="D241" s="285">
        <v>-0.16453617636499437</v>
      </c>
      <c r="E241" s="286">
        <v>-0.16940945477576258</v>
      </c>
      <c r="F241" s="286">
        <v>-0.23105637016090719</v>
      </c>
      <c r="G241" s="286">
        <v>-0.19669494414940308</v>
      </c>
      <c r="H241" s="286">
        <v>-0.20979240546693656</v>
      </c>
      <c r="I241" s="286">
        <v>-0.19262440358772059</v>
      </c>
      <c r="J241" s="286">
        <v>-0.28023087962371124</v>
      </c>
      <c r="K241" s="287">
        <v>-0.29878555406099477</v>
      </c>
      <c r="L241" s="269"/>
    </row>
    <row r="242" spans="1:13" ht="15" customHeight="1" x14ac:dyDescent="0.25">
      <c r="B242" s="328" t="s">
        <v>179</v>
      </c>
      <c r="C242" s="329"/>
      <c r="D242" s="285">
        <v>0.52030907480854616</v>
      </c>
      <c r="E242" s="286">
        <v>0.58762161952325087</v>
      </c>
      <c r="F242" s="286">
        <v>0.98095463833120067</v>
      </c>
      <c r="G242" s="286">
        <v>0.64359817826415533</v>
      </c>
      <c r="H242" s="286">
        <v>0.76065285594055543</v>
      </c>
      <c r="I242" s="286">
        <v>0.68135820298728234</v>
      </c>
      <c r="J242" s="286">
        <v>0.86707946427252902</v>
      </c>
      <c r="K242" s="287">
        <v>0.99442918984961082</v>
      </c>
      <c r="L242" s="269"/>
    </row>
    <row r="243" spans="1:13" ht="15.75" customHeight="1" thickBot="1" x14ac:dyDescent="0.3">
      <c r="B243" s="330" t="s">
        <v>180</v>
      </c>
      <c r="C243" s="331"/>
      <c r="D243" s="288">
        <v>0.94945101398425291</v>
      </c>
      <c r="E243" s="289">
        <v>0.88023632403096796</v>
      </c>
      <c r="F243" s="289">
        <v>0.29097733360341071</v>
      </c>
      <c r="G243" s="289">
        <v>0.80185596064560793</v>
      </c>
      <c r="H243" s="289">
        <v>0.60926532584830428</v>
      </c>
      <c r="I243" s="289">
        <v>0.74200257404590131</v>
      </c>
      <c r="J243" s="289">
        <v>0.43974991363340954</v>
      </c>
      <c r="K243" s="290">
        <v>0.27601925390547433</v>
      </c>
      <c r="L243" s="269"/>
    </row>
    <row r="244" spans="1:13" x14ac:dyDescent="0.25">
      <c r="B244" s="269"/>
      <c r="C244" s="222" t="s">
        <v>145</v>
      </c>
      <c r="D244" s="210" t="str">
        <f>IF(D243&gt;$C$245,"Normal",0)</f>
        <v>Normal</v>
      </c>
      <c r="E244" s="210" t="str">
        <f t="shared" ref="E244:K244" si="12">IF(E243&gt;$C$245,"Normal",0)</f>
        <v>Normal</v>
      </c>
      <c r="F244" s="210" t="str">
        <f t="shared" si="12"/>
        <v>Normal</v>
      </c>
      <c r="G244" s="210" t="str">
        <f t="shared" si="12"/>
        <v>Normal</v>
      </c>
      <c r="H244" s="210" t="str">
        <f t="shared" si="12"/>
        <v>Normal</v>
      </c>
      <c r="I244" s="210" t="str">
        <f t="shared" si="12"/>
        <v>Normal</v>
      </c>
      <c r="J244" s="210" t="str">
        <f t="shared" si="12"/>
        <v>Normal</v>
      </c>
      <c r="K244" s="210" t="str">
        <f t="shared" si="12"/>
        <v>Normal</v>
      </c>
      <c r="L244" s="269"/>
    </row>
    <row r="245" spans="1:13" x14ac:dyDescent="0.25">
      <c r="B245" s="208" t="s">
        <v>140</v>
      </c>
      <c r="C245" s="209">
        <v>0.05</v>
      </c>
      <c r="D245" s="215" t="s">
        <v>144</v>
      </c>
      <c r="E245" s="269"/>
      <c r="F245" s="269"/>
      <c r="G245" s="269"/>
      <c r="H245" s="269"/>
      <c r="I245" s="269"/>
      <c r="J245" s="269"/>
      <c r="K245" s="269"/>
      <c r="L245" s="269"/>
    </row>
    <row r="246" spans="1:13" x14ac:dyDescent="0.25">
      <c r="B246" s="208" t="s">
        <v>141</v>
      </c>
      <c r="C246" s="211">
        <v>0.95</v>
      </c>
    </row>
    <row r="247" spans="1:13" ht="24" x14ac:dyDescent="0.25">
      <c r="B247" s="208" t="s">
        <v>142</v>
      </c>
      <c r="C247" s="209">
        <f>NORMSINV(C246)</f>
        <v>1.6448536269514715</v>
      </c>
    </row>
    <row r="248" spans="1:13" ht="36" x14ac:dyDescent="0.25">
      <c r="B248" s="208" t="s">
        <v>143</v>
      </c>
      <c r="C248" s="209"/>
      <c r="D248" s="212">
        <f>IF(D244="Normal",$C$247,($C$247+(SKEW(D221:D232)*(($C$247^2)-1)/6)+(KURT(D221:D232)-3)*(($C$247^3)-3*($C$247))/24))</f>
        <v>1.6448536269514715</v>
      </c>
      <c r="E248" s="212">
        <f t="shared" ref="E248:K248" si="13">IF(E244="Normal",$C$247,($C$247+(SKEW(E221:E232)*(($C$247^2)-1)/6)+(KURT(E221:E232)-3)*(($C$247^3)-3*($C$247))/24))</f>
        <v>1.6448536269514715</v>
      </c>
      <c r="F248" s="212">
        <f t="shared" si="13"/>
        <v>1.6448536269514715</v>
      </c>
      <c r="G248" s="212">
        <f t="shared" si="13"/>
        <v>1.6448536269514715</v>
      </c>
      <c r="H248" s="212">
        <f t="shared" si="13"/>
        <v>1.6448536269514715</v>
      </c>
      <c r="I248" s="212">
        <f t="shared" si="13"/>
        <v>1.6448536269514715</v>
      </c>
      <c r="J248" s="212">
        <f t="shared" si="13"/>
        <v>1.6448536269514715</v>
      </c>
      <c r="K248" s="212">
        <f t="shared" si="13"/>
        <v>1.6448536269514715</v>
      </c>
      <c r="L248" s="212"/>
      <c r="M248" s="212"/>
    </row>
    <row r="249" spans="1:13" ht="84" x14ac:dyDescent="0.25">
      <c r="B249" s="208"/>
      <c r="C249" s="209" t="s">
        <v>69</v>
      </c>
      <c r="D249" s="256" t="s">
        <v>26</v>
      </c>
      <c r="E249" s="256" t="s">
        <v>27</v>
      </c>
      <c r="F249" s="256" t="s">
        <v>29</v>
      </c>
      <c r="G249" s="256" t="s">
        <v>30</v>
      </c>
      <c r="H249" s="256" t="s">
        <v>31</v>
      </c>
      <c r="I249" s="256" t="s">
        <v>32</v>
      </c>
      <c r="J249" s="256" t="s">
        <v>34</v>
      </c>
      <c r="K249" s="256" t="s">
        <v>35</v>
      </c>
      <c r="L249" s="212"/>
      <c r="M249" s="212"/>
    </row>
    <row r="250" spans="1:13" x14ac:dyDescent="0.25">
      <c r="C250" s="213" t="s">
        <v>155</v>
      </c>
      <c r="D250" s="214">
        <f>D237+(D248*D238)</f>
        <v>0.43445483474444357</v>
      </c>
      <c r="E250" s="214">
        <f t="shared" ref="E250:K250" si="14">E237+(E248*E238)</f>
        <v>4.1993806823512947E-2</v>
      </c>
      <c r="F250" s="214">
        <f t="shared" si="14"/>
        <v>1.9420577215649437E-2</v>
      </c>
      <c r="G250" s="214">
        <f t="shared" si="14"/>
        <v>7.418045541102597E-2</v>
      </c>
      <c r="H250" s="214">
        <f t="shared" si="14"/>
        <v>9.9815876489461677E-3</v>
      </c>
      <c r="I250" s="214">
        <f t="shared" si="14"/>
        <v>0.44547862538525973</v>
      </c>
      <c r="J250" s="214">
        <f t="shared" si="14"/>
        <v>0.11958903480706332</v>
      </c>
      <c r="K250" s="214">
        <f t="shared" si="14"/>
        <v>0.15740280541990712</v>
      </c>
      <c r="L250" s="214"/>
    </row>
    <row r="251" spans="1:13" x14ac:dyDescent="0.25">
      <c r="C251" s="213"/>
      <c r="D251" s="214"/>
      <c r="E251" s="214"/>
      <c r="G251" s="214"/>
      <c r="H251" s="214"/>
      <c r="I251" s="214"/>
      <c r="J251" s="214"/>
      <c r="K251" s="214"/>
      <c r="L251" s="214"/>
    </row>
    <row r="252" spans="1:13" ht="30" x14ac:dyDescent="0.25">
      <c r="C252" s="73" t="s">
        <v>146</v>
      </c>
      <c r="D252" s="130" t="s">
        <v>148</v>
      </c>
      <c r="E252" s="130" t="s">
        <v>147</v>
      </c>
      <c r="F252" s="130" t="s">
        <v>148</v>
      </c>
      <c r="G252" s="130" t="s">
        <v>148</v>
      </c>
      <c r="H252" s="130" t="s">
        <v>148</v>
      </c>
      <c r="I252" s="130" t="s">
        <v>148</v>
      </c>
      <c r="J252" s="130" t="s">
        <v>148</v>
      </c>
      <c r="K252" s="130" t="s">
        <v>148</v>
      </c>
      <c r="L252" s="130"/>
    </row>
    <row r="253" spans="1:13" x14ac:dyDescent="0.25">
      <c r="B253" s="237"/>
      <c r="C253" s="237" t="s">
        <v>148</v>
      </c>
      <c r="D253">
        <f t="shared" ref="D253:K253" si="15">1/4</f>
        <v>0.25</v>
      </c>
      <c r="E253" s="291">
        <f>1/9</f>
        <v>0.1111111111111111</v>
      </c>
      <c r="F253">
        <f t="shared" si="15"/>
        <v>0.25</v>
      </c>
      <c r="G253">
        <f t="shared" si="15"/>
        <v>0.25</v>
      </c>
      <c r="H253">
        <f t="shared" si="15"/>
        <v>0.25</v>
      </c>
      <c r="I253">
        <f t="shared" si="15"/>
        <v>0.25</v>
      </c>
      <c r="J253">
        <f t="shared" si="15"/>
        <v>0.25</v>
      </c>
      <c r="K253">
        <f t="shared" si="15"/>
        <v>0.25</v>
      </c>
      <c r="L253" s="66" t="s">
        <v>156</v>
      </c>
    </row>
    <row r="254" spans="1:13" x14ac:dyDescent="0.25">
      <c r="A254" s="227" t="s">
        <v>149</v>
      </c>
      <c r="B254" s="226"/>
      <c r="C254" s="226"/>
      <c r="D254" s="239" t="s">
        <v>154</v>
      </c>
      <c r="E254" s="239" t="s">
        <v>154</v>
      </c>
      <c r="F254" s="239" t="s">
        <v>154</v>
      </c>
      <c r="G254" s="239" t="s">
        <v>154</v>
      </c>
      <c r="H254" s="239" t="s">
        <v>154</v>
      </c>
      <c r="I254" s="239" t="s">
        <v>154</v>
      </c>
      <c r="J254" s="239" t="s">
        <v>154</v>
      </c>
      <c r="K254" s="239" t="s">
        <v>154</v>
      </c>
      <c r="L254" s="238" t="s">
        <v>157</v>
      </c>
    </row>
    <row r="255" spans="1:13" x14ac:dyDescent="0.25">
      <c r="A255" s="225"/>
      <c r="B255" s="234"/>
      <c r="C255" s="234"/>
      <c r="D255" s="241"/>
      <c r="E255" s="240"/>
      <c r="F255" s="241"/>
      <c r="G255" s="241"/>
      <c r="H255" s="242"/>
      <c r="I255" s="241"/>
      <c r="J255" s="241"/>
      <c r="K255" s="241"/>
      <c r="L255" s="241">
        <v>25</v>
      </c>
    </row>
    <row r="256" spans="1:13" x14ac:dyDescent="0.25">
      <c r="A256" s="227" t="s">
        <v>150</v>
      </c>
      <c r="B256" s="234"/>
      <c r="C256" s="234"/>
      <c r="D256" s="241"/>
      <c r="E256" s="240"/>
      <c r="F256" s="241"/>
      <c r="G256" s="241"/>
      <c r="H256" s="242"/>
      <c r="I256" s="241"/>
      <c r="J256" s="241"/>
      <c r="K256" s="241"/>
      <c r="L256" s="241"/>
    </row>
    <row r="257" spans="1:12" x14ac:dyDescent="0.25">
      <c r="A257" s="223"/>
      <c r="B257" s="135"/>
      <c r="C257" s="135">
        <v>4</v>
      </c>
      <c r="D257" s="244">
        <f>PERCENTILE($D$221:$D$232,$D$253*C263)</f>
        <v>4.6554478985890629E-2</v>
      </c>
      <c r="E257" s="244">
        <f>PERCENTILE($E$221:$E$232,$E$253*C263)</f>
        <v>-3.0733333333333335E-2</v>
      </c>
      <c r="F257" s="244">
        <f>PERCENTILE($F$221:$F$232,$F$253*C263)</f>
        <v>-3.2249999999999987E-3</v>
      </c>
      <c r="G257" s="244">
        <f>PERCENTILE($G$221:$G$232,$G$253*C263)</f>
        <v>-5.9624999999999921E-3</v>
      </c>
      <c r="H257" s="244">
        <f>PERCENTILE($H$221:$H$232,$H$253*C263)</f>
        <v>-3.6249999999999993E-3</v>
      </c>
      <c r="I257" s="244">
        <f>PERCENTILE($I$221:$I$232,$I$253*C257)</f>
        <v>0.45330000000000004</v>
      </c>
      <c r="J257" s="244">
        <f>PERCENTILE($J$221:$J$232,$J$253*C257)</f>
        <v>0.13594999999999999</v>
      </c>
      <c r="K257" s="244">
        <f>PERCENTILE($K$221:$K$232,$K$253*C257)</f>
        <v>0.19475000000000001</v>
      </c>
      <c r="L257" s="246">
        <v>50</v>
      </c>
    </row>
    <row r="258" spans="1:12" x14ac:dyDescent="0.25">
      <c r="A258" s="224" t="s">
        <v>151</v>
      </c>
      <c r="B258" s="135"/>
      <c r="C258" s="135"/>
      <c r="D258" s="246"/>
      <c r="E258" s="246"/>
      <c r="F258" s="246"/>
      <c r="G258" s="246"/>
      <c r="H258" s="246"/>
      <c r="I258" s="246"/>
      <c r="J258" s="246"/>
      <c r="K258" s="246"/>
      <c r="L258" s="246"/>
    </row>
    <row r="259" spans="1:12" x14ac:dyDescent="0.25">
      <c r="A259" s="231"/>
      <c r="B259" s="235"/>
      <c r="C259" s="235">
        <v>3</v>
      </c>
      <c r="D259" s="248">
        <f>PERCENTILE($D$221:$D$232,$D$253*C261)</f>
        <v>0.13811107025314973</v>
      </c>
      <c r="E259" s="248">
        <f>PERCENTILE($E$221:$E$232,$E$253*C261)</f>
        <v>-6.3222222222222187E-3</v>
      </c>
      <c r="F259" s="248">
        <f>PERCENTILE($F$221:$F$232,$F$253*C261)</f>
        <v>1.2499999999999998E-3</v>
      </c>
      <c r="G259" s="248">
        <f>PERCENTILE($G$221:$G$232,$G$253*C261)</f>
        <v>4.7750000000000032E-3</v>
      </c>
      <c r="H259" s="248">
        <f>PERCENTILE($H$221:$H$232,$H$253*C261)</f>
        <v>5.999999999999981E-4</v>
      </c>
      <c r="I259" s="248">
        <f>PERCENTILE($I$221:$I$232,$I$253*C259)</f>
        <v>8.3250000000000005E-2</v>
      </c>
      <c r="J259" s="248">
        <f>PERCENTILE($J$221:$J$232,$J$253*C259)</f>
        <v>4.5250000000000012E-3</v>
      </c>
      <c r="K259" s="248">
        <f>PERCENTILE($K$221:$K$232,$K$253*C259)</f>
        <v>6.2125000000000001E-3</v>
      </c>
      <c r="L259" s="250">
        <v>75</v>
      </c>
    </row>
    <row r="260" spans="1:12" x14ac:dyDescent="0.25">
      <c r="A260" s="233" t="s">
        <v>152</v>
      </c>
      <c r="B260" s="235"/>
      <c r="C260" s="235"/>
      <c r="D260" s="232"/>
      <c r="E260" s="232"/>
      <c r="F260" s="232"/>
      <c r="G260" s="232"/>
      <c r="H260" s="232"/>
      <c r="I260" s="250"/>
      <c r="J260" s="250"/>
      <c r="K260" s="250"/>
      <c r="L260" s="250"/>
    </row>
    <row r="261" spans="1:12" x14ac:dyDescent="0.25">
      <c r="A261" s="228"/>
      <c r="B261" s="236"/>
      <c r="C261" s="236">
        <v>2</v>
      </c>
      <c r="D261" s="252">
        <f>PERCENTILE($D$221:$D$232,$D$253*C259)</f>
        <v>0.28449722738689132</v>
      </c>
      <c r="E261" s="252">
        <f>PERCENTILE($E$221:$E$232,$E$253*C259)</f>
        <v>-2.3166666666666644E-3</v>
      </c>
      <c r="F261" s="252">
        <f>PERCENTILE($F$221:$F$232,$F$253*C259)</f>
        <v>3.4499999999999999E-3</v>
      </c>
      <c r="G261" s="252">
        <f>PERCENTILE($G$221:$G$232,$G$253*C259)</f>
        <v>3.4012500000000001E-2</v>
      </c>
      <c r="H261" s="252">
        <f>PERCENTILE($H$221:$H$232,$H$253*C259)</f>
        <v>1.9749999999999972E-3</v>
      </c>
      <c r="I261" s="252">
        <f>PERCENTILE($I$221:$I$232,$I$253*C261)</f>
        <v>-1.7850000000000005E-2</v>
      </c>
      <c r="J261" s="252">
        <f>PERCENTILE($J$221:$J$232,$J$253*C261)</f>
        <v>-1.2500000000000054E-4</v>
      </c>
      <c r="K261" s="252">
        <f>PERCENTILE($K$221:$K$232,$K$253*C261)</f>
        <v>8.7500000000000078E-4</v>
      </c>
      <c r="L261" s="254">
        <v>100</v>
      </c>
    </row>
    <row r="262" spans="1:12" x14ac:dyDescent="0.25">
      <c r="A262" s="230" t="s">
        <v>153</v>
      </c>
      <c r="B262" s="236"/>
      <c r="C262" s="236"/>
      <c r="D262" s="254"/>
      <c r="E262" s="254"/>
      <c r="F262" s="254"/>
      <c r="G262" s="254"/>
      <c r="H262" s="254"/>
      <c r="I262" s="254"/>
      <c r="J262" s="254"/>
      <c r="K262" s="254"/>
      <c r="L262" s="254"/>
    </row>
    <row r="263" spans="1:12" x14ac:dyDescent="0.25">
      <c r="A263" s="228"/>
      <c r="B263" s="236"/>
      <c r="C263" s="236">
        <v>1</v>
      </c>
      <c r="D263" s="252">
        <f>PERCENTILE($D$221:$D$232,$D$253*C257)</f>
        <v>0.40289608375810348</v>
      </c>
      <c r="E263" s="252">
        <f>PERCENTILE($E$221:$E$232,$E$253*C257)</f>
        <v>3.0944444444444409E-3</v>
      </c>
      <c r="F263" s="252">
        <f>PERCENTILE($F$221:$F$232,$F$253*C257)</f>
        <v>2.3750000000000004E-2</v>
      </c>
      <c r="G263" s="252">
        <f>PERCENTILE($G$221:$G$232,$G$253*C257)</f>
        <v>8.9799999999999991E-2</v>
      </c>
      <c r="H263" s="252">
        <f>PERCENTILE($H$221:$H$232,$H$253*C257)</f>
        <v>1.2450000000000017E-2</v>
      </c>
      <c r="I263" s="252">
        <f>PERCENTILE($I$221:$I$232,$I$253*C263)</f>
        <v>-4.109999999999997E-2</v>
      </c>
      <c r="J263" s="252">
        <f>PERCENTILE($J$221:$J$232,$J$253*C263)</f>
        <v>-3.1874999999999998E-3</v>
      </c>
      <c r="K263" s="252">
        <f>PERCENTILE($K$221:$K$232,$K$253*C263)</f>
        <v>-3.3374999999999985E-3</v>
      </c>
      <c r="L263" s="254"/>
    </row>
    <row r="264" spans="1:12" x14ac:dyDescent="0.25">
      <c r="A264" s="230" t="s">
        <v>153</v>
      </c>
      <c r="B264" s="236"/>
      <c r="C264" s="229"/>
      <c r="D264" s="229"/>
      <c r="E264" s="252"/>
      <c r="F264" s="254"/>
      <c r="G264" s="254"/>
      <c r="H264" s="255"/>
      <c r="I264" s="254"/>
      <c r="J264" s="254"/>
      <c r="K264" s="254"/>
      <c r="L264" s="254"/>
    </row>
    <row r="265" spans="1:12" x14ac:dyDescent="0.25">
      <c r="A265" s="228"/>
      <c r="B265" s="236"/>
      <c r="C265" s="229"/>
      <c r="D265" s="229"/>
      <c r="E265" s="252"/>
      <c r="F265" s="254"/>
      <c r="G265" s="254"/>
      <c r="H265" s="255"/>
      <c r="I265" s="254"/>
      <c r="J265" s="254"/>
      <c r="K265" s="254"/>
      <c r="L265" s="254"/>
    </row>
    <row r="266" spans="1:12" x14ac:dyDescent="0.25">
      <c r="H266"/>
    </row>
    <row r="267" spans="1:12" x14ac:dyDescent="0.25">
      <c r="H267"/>
    </row>
    <row r="268" spans="1:12" x14ac:dyDescent="0.25">
      <c r="H268"/>
    </row>
    <row r="269" spans="1:12" x14ac:dyDescent="0.25">
      <c r="H269"/>
    </row>
    <row r="270" spans="1:12" x14ac:dyDescent="0.25">
      <c r="H270"/>
    </row>
    <row r="271" spans="1:12" x14ac:dyDescent="0.25">
      <c r="H271"/>
    </row>
    <row r="272" spans="1:12" x14ac:dyDescent="0.25">
      <c r="H272"/>
    </row>
  </sheetData>
  <mergeCells count="6">
    <mergeCell ref="B242:C242"/>
    <mergeCell ref="B243:C243"/>
    <mergeCell ref="B234:K234"/>
    <mergeCell ref="B236:C236"/>
    <mergeCell ref="B237:B238"/>
    <mergeCell ref="B239:B241"/>
  </mergeCells>
  <pageMargins left="0.7" right="0.7" top="0.75" bottom="0.75" header="0.3" footer="0.3"/>
  <pageSetup paperSize="9" orientation="portrait" verticalDpi="0" r:id="rId1"/>
  <ignoredErrors>
    <ignoredError sqref="E253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85"/>
  <sheetViews>
    <sheetView view="pageBreakPreview" topLeftCell="H61" zoomScale="70" zoomScaleNormal="85" zoomScaleSheetLayoutView="70" workbookViewId="0">
      <selection activeCell="G26" sqref="G26"/>
    </sheetView>
  </sheetViews>
  <sheetFormatPr defaultRowHeight="15" x14ac:dyDescent="0.25"/>
  <cols>
    <col min="1" max="1" width="29.85546875" customWidth="1"/>
    <col min="2" max="2" width="18.5703125" customWidth="1"/>
    <col min="3" max="3" width="20.5703125" customWidth="1"/>
    <col min="4" max="4" width="14.85546875" customWidth="1"/>
    <col min="5" max="5" width="15.140625" customWidth="1"/>
    <col min="6" max="6" width="15.85546875" customWidth="1"/>
    <col min="7" max="7" width="20.5703125" customWidth="1"/>
    <col min="8" max="8" width="16.7109375" customWidth="1"/>
    <col min="9" max="9" width="13" customWidth="1"/>
    <col min="10" max="11" width="4.7109375" customWidth="1"/>
    <col min="12" max="12" width="78.42578125" hidden="1" customWidth="1"/>
    <col min="13" max="13" width="55.85546875" style="77" customWidth="1"/>
    <col min="23" max="23" width="54.140625" style="77" customWidth="1"/>
  </cols>
  <sheetData>
    <row r="2" spans="1:23" ht="15.75" x14ac:dyDescent="0.25">
      <c r="K2" s="111" t="s">
        <v>80</v>
      </c>
      <c r="L2" s="110"/>
    </row>
    <row r="3" spans="1:23" ht="75" x14ac:dyDescent="0.25">
      <c r="A3" s="131" t="s">
        <v>79</v>
      </c>
      <c r="B3" s="130" t="s">
        <v>26</v>
      </c>
      <c r="C3" s="130" t="s">
        <v>27</v>
      </c>
      <c r="D3" s="130" t="s">
        <v>29</v>
      </c>
      <c r="E3" s="130" t="s">
        <v>30</v>
      </c>
      <c r="F3" s="130" t="s">
        <v>31</v>
      </c>
      <c r="G3" s="130" t="s">
        <v>32</v>
      </c>
      <c r="H3" s="130" t="s">
        <v>34</v>
      </c>
      <c r="I3" s="130" t="s">
        <v>35</v>
      </c>
      <c r="N3" s="313" t="s">
        <v>75</v>
      </c>
      <c r="O3" s="313"/>
      <c r="P3" s="313"/>
      <c r="Q3" s="313"/>
      <c r="R3" s="313"/>
      <c r="S3" s="313"/>
      <c r="T3" s="313"/>
      <c r="U3" s="313"/>
      <c r="V3" s="313"/>
    </row>
    <row r="4" spans="1:23" ht="45" x14ac:dyDescent="0.25">
      <c r="A4" s="77" t="s">
        <v>26</v>
      </c>
      <c r="B4" s="119">
        <v>1</v>
      </c>
      <c r="C4">
        <f>R6</f>
        <v>1</v>
      </c>
      <c r="D4">
        <f>Q7</f>
        <v>3</v>
      </c>
      <c r="E4">
        <f>Q8</f>
        <v>3</v>
      </c>
      <c r="F4">
        <f>Q9</f>
        <v>3</v>
      </c>
      <c r="G4">
        <f>Q10</f>
        <v>3</v>
      </c>
      <c r="H4">
        <f>Q11</f>
        <v>3</v>
      </c>
      <c r="I4">
        <f>R12</f>
        <v>1</v>
      </c>
      <c r="N4" s="68" t="s">
        <v>74</v>
      </c>
      <c r="O4" s="68" t="s">
        <v>73</v>
      </c>
      <c r="P4" s="68" t="s">
        <v>72</v>
      </c>
      <c r="Q4" s="68" t="s">
        <v>71</v>
      </c>
      <c r="R4" s="69" t="s">
        <v>70</v>
      </c>
      <c r="S4" s="68" t="str">
        <f>Q4</f>
        <v>Slightly favors</v>
      </c>
      <c r="T4" s="68" t="str">
        <f>P4</f>
        <v>Strongly favors</v>
      </c>
      <c r="U4" s="68" t="str">
        <f>O4</f>
        <v>Very strong favor</v>
      </c>
      <c r="V4" s="68" t="str">
        <f>N4</f>
        <v>Extreme favors</v>
      </c>
    </row>
    <row r="5" spans="1:23" ht="45" x14ac:dyDescent="0.25">
      <c r="A5" s="77" t="s">
        <v>27</v>
      </c>
      <c r="B5">
        <f>R15</f>
        <v>1</v>
      </c>
      <c r="C5" s="119">
        <v>1</v>
      </c>
      <c r="D5">
        <f>R16</f>
        <v>1</v>
      </c>
      <c r="E5">
        <f>R17</f>
        <v>1</v>
      </c>
      <c r="F5">
        <f>R18</f>
        <v>1</v>
      </c>
      <c r="G5">
        <f>Q19</f>
        <v>3</v>
      </c>
      <c r="H5">
        <f>P20</f>
        <v>5</v>
      </c>
      <c r="I5">
        <f>P21</f>
        <v>5</v>
      </c>
      <c r="K5" s="108" t="s">
        <v>66</v>
      </c>
      <c r="L5" s="71"/>
      <c r="N5" s="70">
        <v>9</v>
      </c>
      <c r="O5" s="70">
        <v>7</v>
      </c>
      <c r="P5" s="70">
        <v>5</v>
      </c>
      <c r="Q5" s="70">
        <v>3</v>
      </c>
      <c r="R5" s="72">
        <v>1</v>
      </c>
      <c r="S5" s="70">
        <v>3</v>
      </c>
      <c r="T5" s="70">
        <v>5</v>
      </c>
      <c r="U5" s="70">
        <v>7</v>
      </c>
      <c r="V5" s="70">
        <v>9</v>
      </c>
    </row>
    <row r="6" spans="1:23" ht="30" x14ac:dyDescent="0.25">
      <c r="A6" s="77" t="s">
        <v>29</v>
      </c>
      <c r="B6">
        <f>S24</f>
        <v>0.33333333333333331</v>
      </c>
      <c r="C6">
        <f>R25</f>
        <v>1</v>
      </c>
      <c r="D6" s="119">
        <v>1</v>
      </c>
      <c r="E6">
        <f>R26</f>
        <v>1</v>
      </c>
      <c r="F6">
        <f>R27</f>
        <v>1</v>
      </c>
      <c r="G6">
        <f>Q28</f>
        <v>3</v>
      </c>
      <c r="H6">
        <f>Q29</f>
        <v>3</v>
      </c>
      <c r="I6">
        <f>Q30</f>
        <v>3</v>
      </c>
      <c r="K6" s="62">
        <v>1</v>
      </c>
      <c r="L6" t="s">
        <v>26</v>
      </c>
      <c r="M6" s="100" t="s">
        <v>26</v>
      </c>
      <c r="N6" s="74"/>
      <c r="O6" s="74"/>
      <c r="P6" s="74"/>
      <c r="Q6" s="74"/>
      <c r="R6" s="74">
        <v>1</v>
      </c>
      <c r="S6" s="74"/>
      <c r="T6" s="74"/>
      <c r="U6" s="74"/>
      <c r="V6" s="74"/>
      <c r="W6" s="100" t="s">
        <v>27</v>
      </c>
    </row>
    <row r="7" spans="1:23" ht="30" x14ac:dyDescent="0.25">
      <c r="A7" s="77" t="s">
        <v>30</v>
      </c>
      <c r="B7">
        <f>S33</f>
        <v>0.33333333333333331</v>
      </c>
      <c r="C7">
        <f>S34</f>
        <v>0.33333333333333331</v>
      </c>
      <c r="D7">
        <f>R35</f>
        <v>1</v>
      </c>
      <c r="E7" s="119">
        <v>1</v>
      </c>
      <c r="F7">
        <f>R36</f>
        <v>1</v>
      </c>
      <c r="G7">
        <f>Q37</f>
        <v>3</v>
      </c>
      <c r="H7">
        <f>Q38</f>
        <v>3</v>
      </c>
      <c r="I7">
        <f>Q39</f>
        <v>3</v>
      </c>
      <c r="K7" s="62">
        <v>2</v>
      </c>
      <c r="L7" t="s">
        <v>27</v>
      </c>
      <c r="M7" s="100" t="s">
        <v>26</v>
      </c>
      <c r="N7" s="74"/>
      <c r="O7" s="74"/>
      <c r="P7" s="74"/>
      <c r="Q7" s="74">
        <v>3</v>
      </c>
      <c r="R7" s="74"/>
      <c r="S7" s="74"/>
      <c r="T7" s="74"/>
      <c r="U7" s="74"/>
      <c r="V7" s="74"/>
      <c r="W7" s="100" t="s">
        <v>29</v>
      </c>
    </row>
    <row r="8" spans="1:23" ht="30" x14ac:dyDescent="0.25">
      <c r="A8" s="77" t="s">
        <v>31</v>
      </c>
      <c r="B8">
        <f>S42</f>
        <v>0.33333333333333331</v>
      </c>
      <c r="C8">
        <f>S43</f>
        <v>0.33333333333333331</v>
      </c>
      <c r="D8">
        <f>R44</f>
        <v>1</v>
      </c>
      <c r="E8">
        <f>R45</f>
        <v>1</v>
      </c>
      <c r="F8" s="119">
        <v>1</v>
      </c>
      <c r="G8">
        <f>Q46</f>
        <v>3</v>
      </c>
      <c r="H8">
        <f>Q47</f>
        <v>3</v>
      </c>
      <c r="I8">
        <f>Q48</f>
        <v>3</v>
      </c>
      <c r="K8" s="62">
        <v>3</v>
      </c>
      <c r="L8" t="s">
        <v>29</v>
      </c>
      <c r="M8" s="100" t="s">
        <v>26</v>
      </c>
      <c r="N8" s="74"/>
      <c r="O8" s="74"/>
      <c r="P8" s="74"/>
      <c r="Q8" s="74">
        <v>3</v>
      </c>
      <c r="R8" s="74"/>
      <c r="S8" s="74"/>
      <c r="T8" s="74"/>
      <c r="U8" s="74"/>
      <c r="V8" s="74"/>
      <c r="W8" s="100" t="s">
        <v>30</v>
      </c>
    </row>
    <row r="9" spans="1:23" ht="45" x14ac:dyDescent="0.25">
      <c r="A9" s="77" t="s">
        <v>32</v>
      </c>
      <c r="B9">
        <f>S51</f>
        <v>0.33333333333333331</v>
      </c>
      <c r="C9">
        <f>S52</f>
        <v>0.33333333333333331</v>
      </c>
      <c r="D9">
        <f>S53</f>
        <v>0.33333333333333331</v>
      </c>
      <c r="E9">
        <f>S54</f>
        <v>0.33333333333333331</v>
      </c>
      <c r="F9">
        <f>S55</f>
        <v>0.33333333333333331</v>
      </c>
      <c r="G9" s="119">
        <v>1</v>
      </c>
      <c r="H9">
        <f>S56</f>
        <v>0.33333333333333331</v>
      </c>
      <c r="I9">
        <f>S57</f>
        <v>0.33333333333333331</v>
      </c>
      <c r="K9" s="62">
        <v>4</v>
      </c>
      <c r="L9" t="s">
        <v>30</v>
      </c>
      <c r="M9" s="100" t="s">
        <v>26</v>
      </c>
      <c r="N9" s="74"/>
      <c r="O9" s="74"/>
      <c r="P9" s="74"/>
      <c r="Q9" s="74">
        <v>3</v>
      </c>
      <c r="R9" s="74"/>
      <c r="S9" s="74"/>
      <c r="T9" s="74"/>
      <c r="U9" s="74"/>
      <c r="V9" s="74"/>
      <c r="W9" s="100" t="s">
        <v>31</v>
      </c>
    </row>
    <row r="10" spans="1:23" ht="30" x14ac:dyDescent="0.25">
      <c r="A10" s="77" t="s">
        <v>34</v>
      </c>
      <c r="B10">
        <f>S60</f>
        <v>0.33333333333333331</v>
      </c>
      <c r="C10">
        <f>S61</f>
        <v>0.33333333333333331</v>
      </c>
      <c r="D10">
        <f>S62</f>
        <v>0.33333333333333331</v>
      </c>
      <c r="E10">
        <f>S63</f>
        <v>0.33333333333333331</v>
      </c>
      <c r="F10">
        <f>S64</f>
        <v>0.33333333333333331</v>
      </c>
      <c r="G10">
        <f>Q65</f>
        <v>3</v>
      </c>
      <c r="H10" s="119">
        <v>1</v>
      </c>
      <c r="I10">
        <f>R66</f>
        <v>1</v>
      </c>
      <c r="K10" s="62">
        <v>5</v>
      </c>
      <c r="L10" t="s">
        <v>31</v>
      </c>
      <c r="M10" s="100" t="s">
        <v>26</v>
      </c>
      <c r="N10" s="74"/>
      <c r="O10" s="74"/>
      <c r="P10" s="74"/>
      <c r="Q10" s="74">
        <v>3</v>
      </c>
      <c r="R10" s="74"/>
      <c r="S10" s="74"/>
      <c r="T10" s="74"/>
      <c r="U10" s="74"/>
      <c r="V10" s="74"/>
      <c r="W10" s="100" t="s">
        <v>32</v>
      </c>
    </row>
    <row r="11" spans="1:23" ht="30" x14ac:dyDescent="0.25">
      <c r="A11" s="77" t="s">
        <v>35</v>
      </c>
      <c r="B11">
        <f>R69</f>
        <v>1</v>
      </c>
      <c r="C11">
        <f>T70</f>
        <v>0.2</v>
      </c>
      <c r="D11">
        <f>S71</f>
        <v>0.33333333333333331</v>
      </c>
      <c r="E11">
        <f>S72</f>
        <v>0.33333333333333331</v>
      </c>
      <c r="F11">
        <f>S73</f>
        <v>0.33333333333333331</v>
      </c>
      <c r="G11">
        <f>Q74</f>
        <v>3</v>
      </c>
      <c r="H11">
        <f>R75</f>
        <v>1</v>
      </c>
      <c r="I11" s="119">
        <v>1</v>
      </c>
      <c r="K11" s="62">
        <v>6</v>
      </c>
      <c r="L11" t="s">
        <v>32</v>
      </c>
      <c r="M11" s="100" t="s">
        <v>26</v>
      </c>
      <c r="N11" s="74"/>
      <c r="O11" s="74"/>
      <c r="P11" s="74"/>
      <c r="Q11" s="74">
        <v>3</v>
      </c>
      <c r="R11" s="74"/>
      <c r="S11" s="74"/>
      <c r="T11" s="74"/>
      <c r="U11" s="74"/>
      <c r="V11" s="74"/>
      <c r="W11" s="100" t="s">
        <v>34</v>
      </c>
    </row>
    <row r="12" spans="1:23" x14ac:dyDescent="0.25">
      <c r="A12" s="124" t="s">
        <v>81</v>
      </c>
      <c r="B12" s="73">
        <f>SUM(B4:B11)</f>
        <v>4.6666666666666679</v>
      </c>
      <c r="C12" s="73">
        <f t="shared" ref="C12:I12" si="0">SUM(C4:C11)</f>
        <v>4.5333333333333332</v>
      </c>
      <c r="D12" s="73">
        <f t="shared" si="0"/>
        <v>7.9999999999999991</v>
      </c>
      <c r="E12" s="73">
        <f t="shared" si="0"/>
        <v>7.9999999999999991</v>
      </c>
      <c r="F12" s="73">
        <f t="shared" si="0"/>
        <v>7.9999999999999991</v>
      </c>
      <c r="G12" s="73">
        <f t="shared" si="0"/>
        <v>22</v>
      </c>
      <c r="H12" s="73">
        <f t="shared" si="0"/>
        <v>19.333333333333332</v>
      </c>
      <c r="I12" s="73">
        <f t="shared" si="0"/>
        <v>17.333333333333336</v>
      </c>
      <c r="K12" s="62">
        <v>7</v>
      </c>
      <c r="L12" t="s">
        <v>34</v>
      </c>
      <c r="M12" s="100" t="s">
        <v>26</v>
      </c>
      <c r="N12" s="74"/>
      <c r="O12" s="74"/>
      <c r="P12" s="74"/>
      <c r="Q12" s="74"/>
      <c r="R12" s="74">
        <v>1</v>
      </c>
      <c r="S12" s="74"/>
      <c r="T12" s="74"/>
      <c r="U12" s="74"/>
      <c r="V12" s="74"/>
      <c r="W12" s="100" t="s">
        <v>35</v>
      </c>
    </row>
    <row r="13" spans="1:23" ht="30" x14ac:dyDescent="0.25">
      <c r="K13" s="62">
        <v>8</v>
      </c>
      <c r="L13" t="s">
        <v>35</v>
      </c>
      <c r="M13" s="115" t="s">
        <v>26</v>
      </c>
      <c r="N13" s="114"/>
      <c r="O13" s="114"/>
      <c r="P13" s="114"/>
      <c r="Q13" s="114"/>
      <c r="R13" s="114"/>
      <c r="S13" s="114"/>
      <c r="T13" s="114"/>
      <c r="U13" s="114"/>
      <c r="V13" s="114"/>
      <c r="W13" s="115" t="s">
        <v>39</v>
      </c>
    </row>
    <row r="14" spans="1:23" ht="75" x14ac:dyDescent="0.25">
      <c r="A14" s="131" t="s">
        <v>79</v>
      </c>
      <c r="B14" s="130" t="s">
        <v>26</v>
      </c>
      <c r="C14" s="130" t="s">
        <v>27</v>
      </c>
      <c r="D14" s="130" t="s">
        <v>29</v>
      </c>
      <c r="E14" s="130" t="s">
        <v>30</v>
      </c>
      <c r="F14" s="130" t="s">
        <v>31</v>
      </c>
      <c r="G14" s="130" t="s">
        <v>32</v>
      </c>
      <c r="H14" s="130" t="s">
        <v>34</v>
      </c>
      <c r="I14" s="130" t="s">
        <v>35</v>
      </c>
      <c r="K14" s="128">
        <v>9</v>
      </c>
      <c r="L14" s="129" t="s">
        <v>39</v>
      </c>
      <c r="M14" s="101"/>
      <c r="N14" s="75"/>
      <c r="O14" s="75"/>
      <c r="P14" s="75"/>
      <c r="Q14" s="75"/>
      <c r="R14" s="75"/>
      <c r="S14" s="75"/>
      <c r="T14" s="75"/>
      <c r="U14" s="75"/>
      <c r="V14" s="75"/>
      <c r="W14" s="101"/>
    </row>
    <row r="15" spans="1:23" ht="30" x14ac:dyDescent="0.25">
      <c r="A15" s="77" t="s">
        <v>26</v>
      </c>
      <c r="B15" s="110">
        <f>B4/$B$12</f>
        <v>0.21428571428571422</v>
      </c>
      <c r="C15">
        <f>C4/$C$12</f>
        <v>0.22058823529411764</v>
      </c>
      <c r="D15">
        <f>D4/$D$12</f>
        <v>0.37500000000000006</v>
      </c>
      <c r="E15">
        <f>E4/$E$12</f>
        <v>0.37500000000000006</v>
      </c>
      <c r="F15">
        <f>F4/$F$12</f>
        <v>0.37500000000000006</v>
      </c>
      <c r="G15">
        <f>G4/$G$12</f>
        <v>0.13636363636363635</v>
      </c>
      <c r="H15">
        <f>H4/$H$12</f>
        <v>0.15517241379310345</v>
      </c>
      <c r="I15">
        <f>I4/$I$12</f>
        <v>5.7692307692307682E-2</v>
      </c>
      <c r="M15" s="100" t="s">
        <v>27</v>
      </c>
      <c r="N15" s="74"/>
      <c r="O15" s="74"/>
      <c r="P15" s="74"/>
      <c r="Q15" s="74"/>
      <c r="R15" s="74">
        <v>1</v>
      </c>
      <c r="S15" s="74"/>
      <c r="T15" s="74"/>
      <c r="U15" s="74"/>
      <c r="V15" s="74"/>
      <c r="W15" s="100" t="s">
        <v>26</v>
      </c>
    </row>
    <row r="16" spans="1:23" ht="45" x14ac:dyDescent="0.25">
      <c r="A16" s="77" t="s">
        <v>27</v>
      </c>
      <c r="B16">
        <f>B5/$B$12</f>
        <v>0.21428571428571422</v>
      </c>
      <c r="C16" s="110">
        <f t="shared" ref="C16:C22" si="1">C5/$C$12</f>
        <v>0.22058823529411764</v>
      </c>
      <c r="D16">
        <f>D5/$D$12</f>
        <v>0.125</v>
      </c>
      <c r="E16">
        <f t="shared" ref="E16:E22" si="2">E5/$E$12</f>
        <v>0.125</v>
      </c>
      <c r="F16">
        <f t="shared" ref="F16:F22" si="3">F5/$F$12</f>
        <v>0.125</v>
      </c>
      <c r="G16">
        <f t="shared" ref="G16:G22" si="4">G5/$G$12</f>
        <v>0.13636363636363635</v>
      </c>
      <c r="H16">
        <f t="shared" ref="H16:H22" si="5">H5/$H$12</f>
        <v>0.25862068965517243</v>
      </c>
      <c r="I16">
        <f t="shared" ref="I16:I22" si="6">I5/$I$12</f>
        <v>0.28846153846153844</v>
      </c>
      <c r="M16" s="100" t="s">
        <v>27</v>
      </c>
      <c r="N16" s="74"/>
      <c r="O16" s="74"/>
      <c r="P16" s="74"/>
      <c r="Q16" s="74"/>
      <c r="R16" s="74">
        <v>1</v>
      </c>
      <c r="S16" s="74"/>
      <c r="T16" s="74"/>
      <c r="U16" s="74"/>
      <c r="V16" s="74"/>
      <c r="W16" s="100" t="s">
        <v>29</v>
      </c>
    </row>
    <row r="17" spans="1:23" ht="30" x14ac:dyDescent="0.25">
      <c r="A17" s="77" t="s">
        <v>29</v>
      </c>
      <c r="B17">
        <f t="shared" ref="B17:B22" si="7">B6/$B$12</f>
        <v>7.1428571428571411E-2</v>
      </c>
      <c r="C17">
        <f t="shared" si="1"/>
        <v>0.22058823529411764</v>
      </c>
      <c r="D17" s="110">
        <f t="shared" ref="D17:D22" si="8">D6/$D$12</f>
        <v>0.125</v>
      </c>
      <c r="E17">
        <f t="shared" si="2"/>
        <v>0.125</v>
      </c>
      <c r="F17">
        <f t="shared" si="3"/>
        <v>0.125</v>
      </c>
      <c r="G17">
        <f t="shared" si="4"/>
        <v>0.13636363636363635</v>
      </c>
      <c r="H17">
        <f t="shared" si="5"/>
        <v>0.15517241379310345</v>
      </c>
      <c r="I17">
        <f t="shared" si="6"/>
        <v>0.17307692307692304</v>
      </c>
      <c r="M17" s="100" t="s">
        <v>27</v>
      </c>
      <c r="N17" s="74"/>
      <c r="O17" s="74"/>
      <c r="P17" s="74"/>
      <c r="Q17" s="74"/>
      <c r="R17" s="74">
        <v>1</v>
      </c>
      <c r="S17" s="74"/>
      <c r="T17" s="74"/>
      <c r="U17" s="74"/>
      <c r="V17" s="74"/>
      <c r="W17" s="100" t="s">
        <v>30</v>
      </c>
    </row>
    <row r="18" spans="1:23" ht="30" x14ac:dyDescent="0.25">
      <c r="A18" s="77" t="s">
        <v>30</v>
      </c>
      <c r="B18">
        <f t="shared" si="7"/>
        <v>7.1428571428571411E-2</v>
      </c>
      <c r="C18">
        <f t="shared" si="1"/>
        <v>7.3529411764705885E-2</v>
      </c>
      <c r="D18">
        <f t="shared" si="8"/>
        <v>0.125</v>
      </c>
      <c r="E18" s="110">
        <f t="shared" si="2"/>
        <v>0.125</v>
      </c>
      <c r="F18">
        <f t="shared" si="3"/>
        <v>0.125</v>
      </c>
      <c r="G18">
        <f t="shared" si="4"/>
        <v>0.13636363636363635</v>
      </c>
      <c r="H18">
        <f t="shared" si="5"/>
        <v>0.15517241379310345</v>
      </c>
      <c r="I18">
        <f t="shared" si="6"/>
        <v>0.17307692307692304</v>
      </c>
      <c r="M18" s="100" t="s">
        <v>27</v>
      </c>
      <c r="N18" s="74"/>
      <c r="O18" s="74"/>
      <c r="P18" s="74"/>
      <c r="Q18" s="74"/>
      <c r="R18" s="74">
        <v>1</v>
      </c>
      <c r="S18" s="74"/>
      <c r="T18" s="74"/>
      <c r="U18" s="74"/>
      <c r="V18" s="74"/>
      <c r="W18" s="100" t="s">
        <v>31</v>
      </c>
    </row>
    <row r="19" spans="1:23" ht="30" x14ac:dyDescent="0.25">
      <c r="A19" s="77" t="s">
        <v>31</v>
      </c>
      <c r="B19">
        <f t="shared" si="7"/>
        <v>7.1428571428571411E-2</v>
      </c>
      <c r="C19">
        <f t="shared" si="1"/>
        <v>7.3529411764705885E-2</v>
      </c>
      <c r="D19">
        <f t="shared" si="8"/>
        <v>0.125</v>
      </c>
      <c r="E19">
        <f t="shared" si="2"/>
        <v>0.125</v>
      </c>
      <c r="F19" s="110">
        <f t="shared" si="3"/>
        <v>0.125</v>
      </c>
      <c r="G19">
        <f t="shared" si="4"/>
        <v>0.13636363636363635</v>
      </c>
      <c r="H19">
        <f t="shared" si="5"/>
        <v>0.15517241379310345</v>
      </c>
      <c r="I19">
        <f t="shared" si="6"/>
        <v>0.17307692307692304</v>
      </c>
      <c r="M19" s="100" t="s">
        <v>27</v>
      </c>
      <c r="N19" s="74"/>
      <c r="O19" s="74"/>
      <c r="P19" s="74"/>
      <c r="Q19" s="74">
        <v>3</v>
      </c>
      <c r="R19" s="74"/>
      <c r="S19" s="74"/>
      <c r="T19" s="74"/>
      <c r="U19" s="74"/>
      <c r="V19" s="74"/>
      <c r="W19" s="100" t="s">
        <v>32</v>
      </c>
    </row>
    <row r="20" spans="1:23" ht="45" x14ac:dyDescent="0.25">
      <c r="A20" s="77" t="s">
        <v>32</v>
      </c>
      <c r="B20">
        <f t="shared" si="7"/>
        <v>7.1428571428571411E-2</v>
      </c>
      <c r="C20">
        <f t="shared" si="1"/>
        <v>7.3529411764705885E-2</v>
      </c>
      <c r="D20">
        <f t="shared" si="8"/>
        <v>4.1666666666666671E-2</v>
      </c>
      <c r="E20">
        <f t="shared" si="2"/>
        <v>4.1666666666666671E-2</v>
      </c>
      <c r="F20">
        <f t="shared" si="3"/>
        <v>4.1666666666666671E-2</v>
      </c>
      <c r="G20" s="110">
        <f t="shared" si="4"/>
        <v>4.5454545454545456E-2</v>
      </c>
      <c r="H20">
        <f t="shared" si="5"/>
        <v>1.7241379310344827E-2</v>
      </c>
      <c r="I20">
        <f t="shared" si="6"/>
        <v>1.9230769230769228E-2</v>
      </c>
      <c r="M20" s="100" t="s">
        <v>27</v>
      </c>
      <c r="N20" s="74"/>
      <c r="O20" s="74"/>
      <c r="P20" s="74">
        <v>5</v>
      </c>
      <c r="Q20" s="74"/>
      <c r="R20" s="74"/>
      <c r="S20" s="74"/>
      <c r="T20" s="74"/>
      <c r="U20" s="74"/>
      <c r="V20" s="74"/>
      <c r="W20" s="100" t="s">
        <v>34</v>
      </c>
    </row>
    <row r="21" spans="1:23" ht="30" x14ac:dyDescent="0.25">
      <c r="A21" s="77" t="s">
        <v>34</v>
      </c>
      <c r="B21">
        <f t="shared" si="7"/>
        <v>7.1428571428571411E-2</v>
      </c>
      <c r="C21">
        <f t="shared" si="1"/>
        <v>7.3529411764705885E-2</v>
      </c>
      <c r="D21">
        <f t="shared" si="8"/>
        <v>4.1666666666666671E-2</v>
      </c>
      <c r="E21">
        <f t="shared" si="2"/>
        <v>4.1666666666666671E-2</v>
      </c>
      <c r="F21">
        <f t="shared" si="3"/>
        <v>4.1666666666666671E-2</v>
      </c>
      <c r="G21">
        <f t="shared" si="4"/>
        <v>0.13636363636363635</v>
      </c>
      <c r="H21" s="110">
        <f t="shared" si="5"/>
        <v>5.1724137931034489E-2</v>
      </c>
      <c r="I21">
        <f t="shared" si="6"/>
        <v>5.7692307692307682E-2</v>
      </c>
      <c r="M21" s="100" t="s">
        <v>27</v>
      </c>
      <c r="N21" s="74"/>
      <c r="O21" s="74"/>
      <c r="P21" s="74">
        <v>5</v>
      </c>
      <c r="Q21" s="74"/>
      <c r="R21" s="74"/>
      <c r="S21" s="74"/>
      <c r="T21" s="74"/>
      <c r="U21" s="74"/>
      <c r="V21" s="74"/>
      <c r="W21" s="100" t="s">
        <v>35</v>
      </c>
    </row>
    <row r="22" spans="1:23" ht="30" x14ac:dyDescent="0.25">
      <c r="A22" s="77" t="s">
        <v>35</v>
      </c>
      <c r="B22">
        <f t="shared" si="7"/>
        <v>0.21428571428571422</v>
      </c>
      <c r="C22">
        <f t="shared" si="1"/>
        <v>4.4117647058823532E-2</v>
      </c>
      <c r="D22">
        <f t="shared" si="8"/>
        <v>4.1666666666666671E-2</v>
      </c>
      <c r="E22">
        <f t="shared" si="2"/>
        <v>4.1666666666666671E-2</v>
      </c>
      <c r="F22">
        <f t="shared" si="3"/>
        <v>4.1666666666666671E-2</v>
      </c>
      <c r="G22">
        <f t="shared" si="4"/>
        <v>0.13636363636363635</v>
      </c>
      <c r="H22">
        <f t="shared" si="5"/>
        <v>5.1724137931034489E-2</v>
      </c>
      <c r="I22" s="110">
        <f t="shared" si="6"/>
        <v>5.7692307692307682E-2</v>
      </c>
      <c r="M22" s="115" t="s">
        <v>27</v>
      </c>
      <c r="N22" s="114"/>
      <c r="O22" s="114"/>
      <c r="P22" s="114"/>
      <c r="Q22" s="114"/>
      <c r="R22" s="114"/>
      <c r="S22" s="114"/>
      <c r="T22" s="114"/>
      <c r="U22" s="114"/>
      <c r="V22" s="114"/>
      <c r="W22" s="115" t="s">
        <v>39</v>
      </c>
    </row>
    <row r="23" spans="1:23" x14ac:dyDescent="0.25">
      <c r="A23" s="124" t="s">
        <v>81</v>
      </c>
      <c r="B23" s="73">
        <f>SUM(B15:B22)</f>
        <v>0.99999999999999967</v>
      </c>
      <c r="C23" s="73">
        <f t="shared" ref="C23" si="9">SUM(C15:C22)</f>
        <v>0.99999999999999978</v>
      </c>
      <c r="D23" s="73">
        <f t="shared" ref="D23" si="10">SUM(D15:D22)</f>
        <v>0.99999999999999989</v>
      </c>
      <c r="E23" s="73">
        <f t="shared" ref="E23" si="11">SUM(E15:E22)</f>
        <v>0.99999999999999989</v>
      </c>
      <c r="F23" s="73">
        <f t="shared" ref="F23" si="12">SUM(F15:F22)</f>
        <v>0.99999999999999989</v>
      </c>
      <c r="G23" s="73">
        <f t="shared" ref="G23" si="13">SUM(G15:G22)</f>
        <v>0.99999999999999989</v>
      </c>
      <c r="H23" s="73">
        <f t="shared" ref="H23" si="14">SUM(H15:H22)</f>
        <v>1</v>
      </c>
      <c r="I23" s="73">
        <f t="shared" ref="I23" si="15">SUM(I15:I22)</f>
        <v>0.99999999999999989</v>
      </c>
      <c r="M23" s="101"/>
      <c r="N23" s="75"/>
      <c r="O23" s="75"/>
      <c r="P23" s="75"/>
      <c r="Q23" s="75"/>
      <c r="R23" s="75"/>
      <c r="S23" s="75"/>
      <c r="T23" s="75"/>
      <c r="U23" s="75"/>
      <c r="V23" s="75"/>
      <c r="W23" s="101"/>
    </row>
    <row r="24" spans="1:23" x14ac:dyDescent="0.25">
      <c r="M24" s="100" t="s">
        <v>29</v>
      </c>
      <c r="N24" s="74"/>
      <c r="O24" s="74"/>
      <c r="P24" s="74"/>
      <c r="Q24" s="74"/>
      <c r="R24" s="74"/>
      <c r="S24" s="74">
        <f>1/3</f>
        <v>0.33333333333333331</v>
      </c>
      <c r="T24" s="74"/>
      <c r="U24" s="74"/>
      <c r="V24" s="74"/>
      <c r="W24" s="100" t="s">
        <v>26</v>
      </c>
    </row>
    <row r="25" spans="1:23" ht="30" x14ac:dyDescent="0.25">
      <c r="A25" s="149" t="s">
        <v>79</v>
      </c>
      <c r="B25" s="150" t="s">
        <v>82</v>
      </c>
      <c r="C25" s="150" t="s">
        <v>83</v>
      </c>
      <c r="M25" s="100" t="s">
        <v>29</v>
      </c>
      <c r="N25" s="74"/>
      <c r="O25" s="74"/>
      <c r="P25" s="74"/>
      <c r="Q25" s="74"/>
      <c r="R25" s="74">
        <v>1</v>
      </c>
      <c r="S25" s="74"/>
      <c r="T25" s="74"/>
      <c r="U25" s="74"/>
      <c r="V25" s="74"/>
      <c r="W25" s="100" t="s">
        <v>27</v>
      </c>
    </row>
    <row r="26" spans="1:23" ht="30" x14ac:dyDescent="0.25">
      <c r="A26" s="146" t="s">
        <v>182</v>
      </c>
      <c r="B26" s="147">
        <f>AVERAGE(B15:I15)</f>
        <v>0.23863778842860994</v>
      </c>
      <c r="C26" s="148">
        <f>B26/SUM($B$26:$B$33)</f>
        <v>0.23863778842860994</v>
      </c>
      <c r="M26" s="100" t="s">
        <v>29</v>
      </c>
      <c r="N26" s="74"/>
      <c r="O26" s="74"/>
      <c r="P26" s="74"/>
      <c r="Q26" s="74"/>
      <c r="R26" s="74">
        <v>1</v>
      </c>
      <c r="S26" s="74"/>
      <c r="T26" s="74"/>
      <c r="U26" s="74"/>
      <c r="V26" s="74"/>
      <c r="W26" s="100" t="s">
        <v>30</v>
      </c>
    </row>
    <row r="27" spans="1:23" ht="45" x14ac:dyDescent="0.25">
      <c r="A27" s="146" t="s">
        <v>183</v>
      </c>
      <c r="B27" s="147">
        <f t="shared" ref="B27:B33" si="16">AVERAGE(B16:I16)</f>
        <v>0.18666497675752236</v>
      </c>
      <c r="C27" s="148">
        <f t="shared" ref="C27:C33" si="17">B27/SUM($B$26:$B$33)</f>
        <v>0.18666497675752236</v>
      </c>
      <c r="M27" s="100" t="s">
        <v>29</v>
      </c>
      <c r="N27" s="74"/>
      <c r="O27" s="74"/>
      <c r="P27" s="74"/>
      <c r="Q27" s="74"/>
      <c r="R27" s="74">
        <v>1</v>
      </c>
      <c r="S27" s="74"/>
      <c r="T27" s="74"/>
      <c r="U27" s="74"/>
      <c r="V27" s="74"/>
      <c r="W27" s="100" t="s">
        <v>31</v>
      </c>
    </row>
    <row r="28" spans="1:23" ht="30" x14ac:dyDescent="0.25">
      <c r="A28" s="146" t="s">
        <v>184</v>
      </c>
      <c r="B28" s="147">
        <f t="shared" si="16"/>
        <v>0.14145372249454399</v>
      </c>
      <c r="C28" s="148">
        <f t="shared" si="17"/>
        <v>0.14145372249454399</v>
      </c>
      <c r="M28" s="100" t="s">
        <v>29</v>
      </c>
      <c r="N28" s="74"/>
      <c r="O28" s="74"/>
      <c r="P28" s="74"/>
      <c r="Q28" s="74">
        <v>3</v>
      </c>
      <c r="R28" s="74"/>
      <c r="S28" s="74"/>
      <c r="T28" s="74"/>
      <c r="U28" s="74"/>
      <c r="V28" s="74"/>
      <c r="W28" s="100" t="s">
        <v>32</v>
      </c>
    </row>
    <row r="29" spans="1:23" ht="30" x14ac:dyDescent="0.25">
      <c r="A29" s="146" t="s">
        <v>185</v>
      </c>
      <c r="B29" s="147">
        <f t="shared" si="16"/>
        <v>0.1230713695533675</v>
      </c>
      <c r="C29" s="148">
        <f t="shared" si="17"/>
        <v>0.1230713695533675</v>
      </c>
      <c r="M29" s="100" t="s">
        <v>29</v>
      </c>
      <c r="N29" s="74"/>
      <c r="O29" s="74"/>
      <c r="P29" s="74"/>
      <c r="Q29" s="74">
        <v>3</v>
      </c>
      <c r="R29" s="74"/>
      <c r="S29" s="74"/>
      <c r="T29" s="74"/>
      <c r="U29" s="74"/>
      <c r="V29" s="74"/>
      <c r="W29" s="100" t="s">
        <v>34</v>
      </c>
    </row>
    <row r="30" spans="1:23" ht="30" x14ac:dyDescent="0.25">
      <c r="A30" s="146" t="s">
        <v>186</v>
      </c>
      <c r="B30" s="147">
        <f t="shared" si="16"/>
        <v>0.1230713695533675</v>
      </c>
      <c r="C30" s="148">
        <f t="shared" si="17"/>
        <v>0.1230713695533675</v>
      </c>
      <c r="M30" s="100" t="s">
        <v>29</v>
      </c>
      <c r="N30" s="74"/>
      <c r="O30" s="74"/>
      <c r="P30" s="74"/>
      <c r="Q30" s="74">
        <v>3</v>
      </c>
      <c r="R30" s="74"/>
      <c r="S30" s="74"/>
      <c r="T30" s="74"/>
      <c r="U30" s="74"/>
      <c r="V30" s="74"/>
      <c r="W30" s="100" t="s">
        <v>35</v>
      </c>
    </row>
    <row r="31" spans="1:23" ht="60" x14ac:dyDescent="0.25">
      <c r="A31" s="146" t="s">
        <v>187</v>
      </c>
      <c r="B31" s="147">
        <f t="shared" si="16"/>
        <v>4.3985584648617106E-2</v>
      </c>
      <c r="C31" s="148">
        <f t="shared" si="17"/>
        <v>4.3985584648617106E-2</v>
      </c>
      <c r="M31" s="115" t="s">
        <v>29</v>
      </c>
      <c r="N31" s="114"/>
      <c r="O31" s="114"/>
      <c r="P31" s="114"/>
      <c r="Q31" s="114"/>
      <c r="R31" s="114"/>
      <c r="S31" s="114"/>
      <c r="T31" s="114"/>
      <c r="U31" s="114"/>
      <c r="V31" s="114"/>
      <c r="W31" s="115" t="s">
        <v>39</v>
      </c>
    </row>
    <row r="32" spans="1:23" ht="30" x14ac:dyDescent="0.25">
      <c r="A32" s="146" t="s">
        <v>188</v>
      </c>
      <c r="B32" s="147">
        <f t="shared" si="16"/>
        <v>6.4467258147531986E-2</v>
      </c>
      <c r="C32" s="148">
        <f t="shared" si="17"/>
        <v>6.4467258147531986E-2</v>
      </c>
      <c r="M32" s="101"/>
      <c r="N32" s="75"/>
      <c r="O32" s="75"/>
      <c r="P32" s="75"/>
      <c r="Q32" s="75"/>
      <c r="R32" s="75"/>
      <c r="S32" s="75"/>
      <c r="T32" s="75"/>
      <c r="U32" s="75"/>
      <c r="V32" s="75"/>
      <c r="W32" s="101"/>
    </row>
    <row r="33" spans="1:23" ht="30" x14ac:dyDescent="0.25">
      <c r="A33" s="146" t="s">
        <v>189</v>
      </c>
      <c r="B33" s="147">
        <f t="shared" si="16"/>
        <v>7.864793041643954E-2</v>
      </c>
      <c r="C33" s="148">
        <f t="shared" si="17"/>
        <v>7.864793041643954E-2</v>
      </c>
      <c r="M33" s="100" t="s">
        <v>30</v>
      </c>
      <c r="N33" s="74"/>
      <c r="O33" s="74"/>
      <c r="P33" s="74"/>
      <c r="Q33" s="74"/>
      <c r="R33" s="74"/>
      <c r="S33" s="74">
        <f>1/3</f>
        <v>0.33333333333333331</v>
      </c>
      <c r="T33" s="74"/>
      <c r="U33" s="74"/>
      <c r="V33" s="74"/>
      <c r="W33" s="100" t="s">
        <v>26</v>
      </c>
    </row>
    <row r="34" spans="1:23" ht="30" x14ac:dyDescent="0.25">
      <c r="A34" s="124" t="s">
        <v>81</v>
      </c>
      <c r="B34" s="73">
        <f>SUM(B26:B33)</f>
        <v>1</v>
      </c>
      <c r="C34" s="73">
        <f t="shared" ref="C34" si="18">SUM(C26:C33)</f>
        <v>1</v>
      </c>
      <c r="M34" s="100" t="s">
        <v>30</v>
      </c>
      <c r="N34" s="74"/>
      <c r="O34" s="74"/>
      <c r="P34" s="74"/>
      <c r="Q34" s="74"/>
      <c r="R34" s="74"/>
      <c r="S34" s="74">
        <f>1/3</f>
        <v>0.33333333333333331</v>
      </c>
      <c r="T34" s="74"/>
      <c r="U34" s="74"/>
      <c r="V34" s="74"/>
      <c r="W34" s="100" t="s">
        <v>27</v>
      </c>
    </row>
    <row r="35" spans="1:23" x14ac:dyDescent="0.25">
      <c r="M35" s="100" t="s">
        <v>30</v>
      </c>
      <c r="N35" s="74"/>
      <c r="O35" s="74"/>
      <c r="P35" s="74"/>
      <c r="Q35" s="74"/>
      <c r="R35" s="74">
        <v>1</v>
      </c>
      <c r="S35" s="74"/>
      <c r="T35" s="74"/>
      <c r="U35" s="74"/>
      <c r="V35" s="74"/>
      <c r="W35" s="100" t="s">
        <v>29</v>
      </c>
    </row>
    <row r="36" spans="1:23" x14ac:dyDescent="0.25">
      <c r="A36" t="s">
        <v>84</v>
      </c>
      <c r="B36">
        <f>B15*B26+C16*B27+D17*B28+E18*B29+F19*B30+G20*B31+H21*B32+I22*B33</f>
        <v>0.15063356317346935</v>
      </c>
      <c r="M36" s="100" t="s">
        <v>30</v>
      </c>
      <c r="N36" s="74"/>
      <c r="O36" s="74"/>
      <c r="P36" s="74"/>
      <c r="Q36" s="74"/>
      <c r="R36" s="74">
        <v>1</v>
      </c>
      <c r="S36" s="74"/>
      <c r="T36" s="74"/>
      <c r="U36" s="74"/>
      <c r="V36" s="74"/>
      <c r="W36" s="100" t="s">
        <v>31</v>
      </c>
    </row>
    <row r="37" spans="1:23" ht="30" x14ac:dyDescent="0.25">
      <c r="A37" s="65" t="s">
        <v>88</v>
      </c>
      <c r="B37">
        <f>B12*B26+C12*B27+D12*B28+E12*B29+F12*B30+G12*B31+H12*B32+I12*B33</f>
        <v>8.6379099137846609</v>
      </c>
      <c r="M37" s="100" t="s">
        <v>30</v>
      </c>
      <c r="N37" s="74"/>
      <c r="O37" s="74"/>
      <c r="P37" s="74"/>
      <c r="Q37" s="74">
        <v>3</v>
      </c>
      <c r="R37" s="74"/>
      <c r="S37" s="74"/>
      <c r="T37" s="74"/>
      <c r="U37" s="74"/>
      <c r="V37" s="74"/>
      <c r="W37" s="100" t="s">
        <v>32</v>
      </c>
    </row>
    <row r="38" spans="1:23" x14ac:dyDescent="0.25">
      <c r="A38" t="s">
        <v>85</v>
      </c>
      <c r="B38">
        <f>(B37-COUNT(A26:A33))/(COUNT(A26:A33)-1)</f>
        <v>-8.6379099137846609</v>
      </c>
      <c r="M38" s="100" t="s">
        <v>30</v>
      </c>
      <c r="N38" s="74"/>
      <c r="O38" s="74"/>
      <c r="P38" s="74"/>
      <c r="Q38" s="74">
        <v>3</v>
      </c>
      <c r="R38" s="74"/>
      <c r="S38" s="74"/>
      <c r="T38" s="74"/>
      <c r="U38" s="74"/>
      <c r="V38" s="74"/>
      <c r="W38" s="100" t="s">
        <v>34</v>
      </c>
    </row>
    <row r="39" spans="1:23" x14ac:dyDescent="0.25">
      <c r="A39" t="s">
        <v>86</v>
      </c>
      <c r="B39">
        <v>1.41</v>
      </c>
      <c r="M39" s="100" t="s">
        <v>30</v>
      </c>
      <c r="N39" s="74"/>
      <c r="O39" s="74"/>
      <c r="P39" s="74"/>
      <c r="Q39" s="74">
        <v>3</v>
      </c>
      <c r="R39" s="74"/>
      <c r="S39" s="74"/>
      <c r="T39" s="74"/>
      <c r="U39" s="74"/>
      <c r="V39" s="74"/>
      <c r="W39" s="100" t="s">
        <v>35</v>
      </c>
    </row>
    <row r="40" spans="1:23" ht="30" x14ac:dyDescent="0.25">
      <c r="A40" t="s">
        <v>87</v>
      </c>
      <c r="B40" s="125">
        <f>B38/B39</f>
        <v>-6.1261772438189084</v>
      </c>
      <c r="M40" s="100" t="s">
        <v>30</v>
      </c>
      <c r="N40" s="74"/>
      <c r="O40" s="74"/>
      <c r="P40" s="74"/>
      <c r="Q40" s="74"/>
      <c r="R40" s="74"/>
      <c r="S40" s="74"/>
      <c r="T40" s="74"/>
      <c r="U40" s="74"/>
      <c r="V40" s="74"/>
      <c r="W40" s="100" t="s">
        <v>39</v>
      </c>
    </row>
    <row r="41" spans="1:23" x14ac:dyDescent="0.25">
      <c r="M41" s="101"/>
      <c r="N41" s="75"/>
      <c r="O41" s="75"/>
      <c r="P41" s="75"/>
      <c r="Q41" s="75"/>
      <c r="R41" s="75"/>
      <c r="S41" s="75"/>
      <c r="T41" s="75"/>
      <c r="U41" s="75"/>
      <c r="V41" s="75"/>
      <c r="W41" s="101"/>
    </row>
    <row r="42" spans="1:23" x14ac:dyDescent="0.25">
      <c r="M42" s="100" t="s">
        <v>31</v>
      </c>
      <c r="N42" s="74"/>
      <c r="O42" s="74"/>
      <c r="P42" s="74"/>
      <c r="Q42" s="74"/>
      <c r="R42" s="74"/>
      <c r="S42" s="74">
        <f>1/3</f>
        <v>0.33333333333333331</v>
      </c>
      <c r="T42" s="74"/>
      <c r="U42" s="74"/>
      <c r="V42" s="74"/>
      <c r="W42" s="100" t="s">
        <v>26</v>
      </c>
    </row>
    <row r="43" spans="1:23" ht="30" x14ac:dyDescent="0.25">
      <c r="M43" s="100" t="s">
        <v>31</v>
      </c>
      <c r="N43" s="74"/>
      <c r="O43" s="74"/>
      <c r="P43" s="74"/>
      <c r="Q43" s="74"/>
      <c r="R43" s="74"/>
      <c r="S43" s="74">
        <f>1/3</f>
        <v>0.33333333333333331</v>
      </c>
      <c r="T43" s="74"/>
      <c r="U43" s="74"/>
      <c r="V43" s="74"/>
      <c r="W43" s="100" t="s">
        <v>27</v>
      </c>
    </row>
    <row r="44" spans="1:23" x14ac:dyDescent="0.25">
      <c r="M44" s="100" t="s">
        <v>31</v>
      </c>
      <c r="N44" s="74"/>
      <c r="O44" s="74"/>
      <c r="P44" s="74"/>
      <c r="Q44" s="74"/>
      <c r="R44" s="74">
        <v>1</v>
      </c>
      <c r="S44" s="74"/>
      <c r="T44" s="74"/>
      <c r="U44" s="74"/>
      <c r="V44" s="74"/>
      <c r="W44" s="100" t="s">
        <v>29</v>
      </c>
    </row>
    <row r="45" spans="1:23" x14ac:dyDescent="0.25">
      <c r="M45" s="100" t="s">
        <v>31</v>
      </c>
      <c r="N45" s="74"/>
      <c r="O45" s="74"/>
      <c r="P45" s="74"/>
      <c r="Q45" s="74"/>
      <c r="R45" s="74">
        <v>1</v>
      </c>
      <c r="S45" s="74"/>
      <c r="T45" s="74"/>
      <c r="U45" s="74"/>
      <c r="V45" s="74"/>
      <c r="W45" s="100" t="s">
        <v>30</v>
      </c>
    </row>
    <row r="46" spans="1:23" ht="30" x14ac:dyDescent="0.25">
      <c r="M46" s="100" t="s">
        <v>31</v>
      </c>
      <c r="N46" s="74"/>
      <c r="O46" s="74"/>
      <c r="P46" s="74"/>
      <c r="Q46" s="74">
        <v>3</v>
      </c>
      <c r="R46" s="74"/>
      <c r="S46" s="74"/>
      <c r="T46" s="74"/>
      <c r="U46" s="74"/>
      <c r="V46" s="74"/>
      <c r="W46" s="100" t="s">
        <v>32</v>
      </c>
    </row>
    <row r="47" spans="1:23" x14ac:dyDescent="0.25">
      <c r="M47" s="100" t="s">
        <v>31</v>
      </c>
      <c r="N47" s="74"/>
      <c r="O47" s="74"/>
      <c r="P47" s="74"/>
      <c r="Q47" s="74">
        <v>3</v>
      </c>
      <c r="R47" s="74"/>
      <c r="S47" s="74"/>
      <c r="T47" s="74"/>
      <c r="U47" s="74"/>
      <c r="V47" s="74"/>
      <c r="W47" s="100" t="s">
        <v>34</v>
      </c>
    </row>
    <row r="48" spans="1:23" x14ac:dyDescent="0.25">
      <c r="M48" s="100" t="s">
        <v>31</v>
      </c>
      <c r="N48" s="74"/>
      <c r="O48" s="74"/>
      <c r="P48" s="74"/>
      <c r="Q48" s="74">
        <v>3</v>
      </c>
      <c r="R48" s="74"/>
      <c r="S48" s="74"/>
      <c r="T48" s="74"/>
      <c r="U48" s="74"/>
      <c r="V48" s="74"/>
      <c r="W48" s="100" t="s">
        <v>35</v>
      </c>
    </row>
    <row r="49" spans="13:23" ht="30" x14ac:dyDescent="0.25">
      <c r="M49" s="115" t="s">
        <v>31</v>
      </c>
      <c r="N49" s="114"/>
      <c r="O49" s="114"/>
      <c r="P49" s="114"/>
      <c r="Q49" s="114"/>
      <c r="R49" s="114"/>
      <c r="S49" s="114"/>
      <c r="T49" s="114"/>
      <c r="U49" s="114"/>
      <c r="V49" s="114"/>
      <c r="W49" s="115" t="s">
        <v>39</v>
      </c>
    </row>
    <row r="50" spans="13:23" x14ac:dyDescent="0.25">
      <c r="M50" s="101"/>
      <c r="N50" s="75"/>
      <c r="O50" s="75"/>
      <c r="P50" s="75"/>
      <c r="Q50" s="75"/>
      <c r="R50" s="75"/>
      <c r="S50" s="75"/>
      <c r="T50" s="75"/>
      <c r="U50" s="75"/>
      <c r="V50" s="75"/>
      <c r="W50" s="101"/>
    </row>
    <row r="51" spans="13:23" ht="30" x14ac:dyDescent="0.25">
      <c r="M51" s="100" t="s">
        <v>32</v>
      </c>
      <c r="N51" s="74"/>
      <c r="O51" s="74"/>
      <c r="P51" s="74"/>
      <c r="Q51" s="74"/>
      <c r="R51" s="74"/>
      <c r="S51" s="74">
        <f>1/3</f>
        <v>0.33333333333333331</v>
      </c>
      <c r="T51" s="74"/>
      <c r="U51" s="74"/>
      <c r="V51" s="74"/>
      <c r="W51" s="100" t="s">
        <v>26</v>
      </c>
    </row>
    <row r="52" spans="13:23" ht="30" x14ac:dyDescent="0.25">
      <c r="M52" s="100" t="s">
        <v>32</v>
      </c>
      <c r="N52" s="74"/>
      <c r="O52" s="74"/>
      <c r="P52" s="74"/>
      <c r="Q52" s="74"/>
      <c r="R52" s="74"/>
      <c r="S52" s="74">
        <f t="shared" ref="S52:S57" si="19">1/3</f>
        <v>0.33333333333333331</v>
      </c>
      <c r="T52" s="74"/>
      <c r="U52" s="74"/>
      <c r="V52" s="74"/>
      <c r="W52" s="100" t="s">
        <v>27</v>
      </c>
    </row>
    <row r="53" spans="13:23" ht="30" x14ac:dyDescent="0.25">
      <c r="M53" s="100" t="s">
        <v>32</v>
      </c>
      <c r="N53" s="74"/>
      <c r="O53" s="74"/>
      <c r="P53" s="74"/>
      <c r="Q53" s="74"/>
      <c r="R53" s="74"/>
      <c r="S53" s="74">
        <f t="shared" si="19"/>
        <v>0.33333333333333331</v>
      </c>
      <c r="T53" s="74"/>
      <c r="U53" s="74"/>
      <c r="V53" s="74"/>
      <c r="W53" s="100" t="s">
        <v>29</v>
      </c>
    </row>
    <row r="54" spans="13:23" ht="30" x14ac:dyDescent="0.25">
      <c r="M54" s="100" t="s">
        <v>32</v>
      </c>
      <c r="N54" s="74"/>
      <c r="O54" s="74"/>
      <c r="P54" s="74"/>
      <c r="Q54" s="74"/>
      <c r="R54" s="74"/>
      <c r="S54" s="74">
        <f t="shared" si="19"/>
        <v>0.33333333333333331</v>
      </c>
      <c r="T54" s="74"/>
      <c r="U54" s="74"/>
      <c r="V54" s="74"/>
      <c r="W54" s="100" t="s">
        <v>30</v>
      </c>
    </row>
    <row r="55" spans="13:23" ht="30" x14ac:dyDescent="0.25">
      <c r="M55" s="100" t="s">
        <v>32</v>
      </c>
      <c r="N55" s="74"/>
      <c r="O55" s="74"/>
      <c r="P55" s="74"/>
      <c r="Q55" s="74"/>
      <c r="R55" s="74"/>
      <c r="S55" s="74">
        <f t="shared" si="19"/>
        <v>0.33333333333333331</v>
      </c>
      <c r="T55" s="74"/>
      <c r="U55" s="74"/>
      <c r="V55" s="74"/>
      <c r="W55" s="100" t="s">
        <v>31</v>
      </c>
    </row>
    <row r="56" spans="13:23" ht="30" x14ac:dyDescent="0.25">
      <c r="M56" s="100" t="s">
        <v>32</v>
      </c>
      <c r="N56" s="74"/>
      <c r="O56" s="74"/>
      <c r="P56" s="74"/>
      <c r="Q56" s="74"/>
      <c r="R56" s="74"/>
      <c r="S56" s="74">
        <f t="shared" si="19"/>
        <v>0.33333333333333331</v>
      </c>
      <c r="T56" s="74"/>
      <c r="U56" s="74"/>
      <c r="V56" s="74"/>
      <c r="W56" s="100" t="s">
        <v>34</v>
      </c>
    </row>
    <row r="57" spans="13:23" ht="30" x14ac:dyDescent="0.25">
      <c r="M57" s="100" t="s">
        <v>32</v>
      </c>
      <c r="N57" s="74"/>
      <c r="O57" s="74"/>
      <c r="P57" s="74"/>
      <c r="Q57" s="74"/>
      <c r="R57" s="74"/>
      <c r="S57" s="74">
        <f t="shared" si="19"/>
        <v>0.33333333333333331</v>
      </c>
      <c r="T57" s="74"/>
      <c r="U57" s="74"/>
      <c r="V57" s="74"/>
      <c r="W57" s="100" t="s">
        <v>35</v>
      </c>
    </row>
    <row r="58" spans="13:23" ht="30" x14ac:dyDescent="0.25">
      <c r="M58" s="115" t="s">
        <v>32</v>
      </c>
      <c r="N58" s="114"/>
      <c r="O58" s="114"/>
      <c r="P58" s="114"/>
      <c r="Q58" s="114"/>
      <c r="R58" s="114"/>
      <c r="S58" s="114"/>
      <c r="T58" s="114"/>
      <c r="U58" s="114"/>
      <c r="V58" s="114"/>
      <c r="W58" s="115" t="s">
        <v>39</v>
      </c>
    </row>
    <row r="59" spans="13:23" x14ac:dyDescent="0.25">
      <c r="M59" s="101"/>
      <c r="N59" s="75"/>
      <c r="O59" s="75"/>
      <c r="P59" s="75"/>
      <c r="Q59" s="75"/>
      <c r="R59" s="75"/>
      <c r="S59" s="75"/>
      <c r="T59" s="75"/>
      <c r="U59" s="75"/>
      <c r="V59" s="75"/>
      <c r="W59" s="101"/>
    </row>
    <row r="60" spans="13:23" x14ac:dyDescent="0.25">
      <c r="M60" s="100" t="s">
        <v>34</v>
      </c>
      <c r="N60" s="74"/>
      <c r="O60" s="74"/>
      <c r="P60" s="74"/>
      <c r="Q60" s="74"/>
      <c r="R60" s="74"/>
      <c r="S60" s="74">
        <f t="shared" ref="S60:S64" si="20">1/3</f>
        <v>0.33333333333333331</v>
      </c>
      <c r="T60" s="74"/>
      <c r="U60" s="74"/>
      <c r="V60" s="74"/>
      <c r="W60" s="100" t="s">
        <v>26</v>
      </c>
    </row>
    <row r="61" spans="13:23" ht="30" x14ac:dyDescent="0.25">
      <c r="M61" s="100" t="s">
        <v>34</v>
      </c>
      <c r="N61" s="74"/>
      <c r="O61" s="74"/>
      <c r="P61" s="74"/>
      <c r="Q61" s="74"/>
      <c r="R61" s="74"/>
      <c r="S61" s="74">
        <f t="shared" si="20"/>
        <v>0.33333333333333331</v>
      </c>
      <c r="T61" s="74"/>
      <c r="U61" s="74"/>
      <c r="V61" s="74"/>
      <c r="W61" s="100" t="s">
        <v>27</v>
      </c>
    </row>
    <row r="62" spans="13:23" x14ac:dyDescent="0.25">
      <c r="M62" s="100" t="s">
        <v>34</v>
      </c>
      <c r="N62" s="74"/>
      <c r="O62" s="74"/>
      <c r="P62" s="74"/>
      <c r="Q62" s="74"/>
      <c r="R62" s="74"/>
      <c r="S62" s="74">
        <f t="shared" si="20"/>
        <v>0.33333333333333331</v>
      </c>
      <c r="T62" s="74"/>
      <c r="U62" s="74"/>
      <c r="V62" s="74"/>
      <c r="W62" s="100" t="s">
        <v>29</v>
      </c>
    </row>
    <row r="63" spans="13:23" x14ac:dyDescent="0.25">
      <c r="M63" s="100" t="s">
        <v>34</v>
      </c>
      <c r="N63" s="74"/>
      <c r="O63" s="74"/>
      <c r="P63" s="74"/>
      <c r="Q63" s="74"/>
      <c r="R63" s="74"/>
      <c r="S63" s="74">
        <f t="shared" si="20"/>
        <v>0.33333333333333331</v>
      </c>
      <c r="T63" s="74"/>
      <c r="U63" s="74"/>
      <c r="V63" s="74"/>
      <c r="W63" s="100" t="s">
        <v>30</v>
      </c>
    </row>
    <row r="64" spans="13:23" x14ac:dyDescent="0.25">
      <c r="M64" s="100" t="s">
        <v>34</v>
      </c>
      <c r="N64" s="74"/>
      <c r="O64" s="74"/>
      <c r="P64" s="74"/>
      <c r="Q64" s="74"/>
      <c r="R64" s="74"/>
      <c r="S64" s="74">
        <f t="shared" si="20"/>
        <v>0.33333333333333331</v>
      </c>
      <c r="T64" s="74"/>
      <c r="U64" s="74"/>
      <c r="V64" s="74"/>
      <c r="W64" s="100" t="s">
        <v>31</v>
      </c>
    </row>
    <row r="65" spans="13:23" ht="30" x14ac:dyDescent="0.25">
      <c r="M65" s="100" t="s">
        <v>34</v>
      </c>
      <c r="N65" s="74"/>
      <c r="O65" s="74"/>
      <c r="P65" s="74"/>
      <c r="Q65" s="74">
        <v>3</v>
      </c>
      <c r="R65" s="74"/>
      <c r="S65" s="74"/>
      <c r="T65" s="74"/>
      <c r="U65" s="74"/>
      <c r="V65" s="74"/>
      <c r="W65" s="100" t="s">
        <v>32</v>
      </c>
    </row>
    <row r="66" spans="13:23" x14ac:dyDescent="0.25">
      <c r="M66" s="100" t="s">
        <v>34</v>
      </c>
      <c r="N66" s="74"/>
      <c r="O66" s="74"/>
      <c r="P66" s="74"/>
      <c r="Q66" s="74"/>
      <c r="R66" s="74">
        <v>1</v>
      </c>
      <c r="S66" s="74"/>
      <c r="T66" s="74"/>
      <c r="U66" s="74"/>
      <c r="V66" s="74"/>
      <c r="W66" s="100" t="s">
        <v>35</v>
      </c>
    </row>
    <row r="67" spans="13:23" ht="30" x14ac:dyDescent="0.25">
      <c r="M67" s="115" t="s">
        <v>34</v>
      </c>
      <c r="N67" s="114"/>
      <c r="O67" s="114"/>
      <c r="P67" s="114"/>
      <c r="Q67" s="114"/>
      <c r="R67" s="114"/>
      <c r="S67" s="114"/>
      <c r="T67" s="114"/>
      <c r="U67" s="114"/>
      <c r="V67" s="114"/>
      <c r="W67" s="115" t="s">
        <v>39</v>
      </c>
    </row>
    <row r="68" spans="13:23" x14ac:dyDescent="0.25">
      <c r="M68" s="101"/>
      <c r="N68" s="75"/>
      <c r="O68" s="75"/>
      <c r="P68" s="75"/>
      <c r="Q68" s="75"/>
      <c r="R68" s="75"/>
      <c r="S68" s="75"/>
      <c r="T68" s="75"/>
      <c r="U68" s="75"/>
      <c r="V68" s="75"/>
      <c r="W68" s="101"/>
    </row>
    <row r="69" spans="13:23" x14ac:dyDescent="0.25">
      <c r="M69" s="100" t="s">
        <v>35</v>
      </c>
      <c r="N69" s="74"/>
      <c r="O69" s="74"/>
      <c r="P69" s="74"/>
      <c r="Q69" s="74"/>
      <c r="R69" s="74">
        <v>1</v>
      </c>
      <c r="S69" s="74"/>
      <c r="T69" s="74"/>
      <c r="U69" s="74"/>
      <c r="V69" s="74"/>
      <c r="W69" s="100" t="s">
        <v>26</v>
      </c>
    </row>
    <row r="70" spans="13:23" ht="30" x14ac:dyDescent="0.25">
      <c r="M70" s="100" t="s">
        <v>35</v>
      </c>
      <c r="N70" s="74"/>
      <c r="O70" s="74"/>
      <c r="P70" s="74"/>
      <c r="Q70" s="74"/>
      <c r="R70" s="74"/>
      <c r="S70" s="74"/>
      <c r="T70" s="74">
        <f>1/5</f>
        <v>0.2</v>
      </c>
      <c r="U70" s="74"/>
      <c r="V70" s="74"/>
      <c r="W70" s="100" t="s">
        <v>27</v>
      </c>
    </row>
    <row r="71" spans="13:23" x14ac:dyDescent="0.25">
      <c r="M71" s="100" t="s">
        <v>35</v>
      </c>
      <c r="N71" s="74"/>
      <c r="O71" s="74"/>
      <c r="P71" s="74"/>
      <c r="Q71" s="74"/>
      <c r="R71" s="74"/>
      <c r="S71" s="74">
        <f t="shared" ref="S71:S73" si="21">1/3</f>
        <v>0.33333333333333331</v>
      </c>
      <c r="T71" s="74"/>
      <c r="U71" s="74"/>
      <c r="V71" s="74"/>
      <c r="W71" s="100" t="s">
        <v>29</v>
      </c>
    </row>
    <row r="72" spans="13:23" x14ac:dyDescent="0.25">
      <c r="M72" s="100" t="s">
        <v>35</v>
      </c>
      <c r="N72" s="74"/>
      <c r="O72" s="74"/>
      <c r="P72" s="74"/>
      <c r="Q72" s="74"/>
      <c r="R72" s="74"/>
      <c r="S72" s="74">
        <f t="shared" si="21"/>
        <v>0.33333333333333331</v>
      </c>
      <c r="T72" s="74"/>
      <c r="U72" s="74"/>
      <c r="V72" s="74"/>
      <c r="W72" s="100" t="s">
        <v>30</v>
      </c>
    </row>
    <row r="73" spans="13:23" x14ac:dyDescent="0.25">
      <c r="M73" s="100" t="s">
        <v>35</v>
      </c>
      <c r="N73" s="74"/>
      <c r="O73" s="74"/>
      <c r="P73" s="74"/>
      <c r="Q73" s="74"/>
      <c r="R73" s="74"/>
      <c r="S73" s="74">
        <f t="shared" si="21"/>
        <v>0.33333333333333331</v>
      </c>
      <c r="T73" s="74"/>
      <c r="U73" s="74"/>
      <c r="V73" s="74"/>
      <c r="W73" s="100" t="s">
        <v>31</v>
      </c>
    </row>
    <row r="74" spans="13:23" ht="30" x14ac:dyDescent="0.25">
      <c r="M74" s="100" t="s">
        <v>35</v>
      </c>
      <c r="N74" s="74"/>
      <c r="O74" s="74"/>
      <c r="P74" s="74"/>
      <c r="Q74" s="74">
        <v>3</v>
      </c>
      <c r="R74" s="74"/>
      <c r="S74" s="74"/>
      <c r="T74" s="74"/>
      <c r="U74" s="74"/>
      <c r="V74" s="74"/>
      <c r="W74" s="100" t="s">
        <v>32</v>
      </c>
    </row>
    <row r="75" spans="13:23" x14ac:dyDescent="0.25">
      <c r="M75" s="100" t="s">
        <v>35</v>
      </c>
      <c r="N75" s="74"/>
      <c r="O75" s="74"/>
      <c r="P75" s="74"/>
      <c r="Q75" s="74"/>
      <c r="R75" s="74">
        <v>1</v>
      </c>
      <c r="S75" s="74"/>
      <c r="T75" s="74"/>
      <c r="U75" s="74"/>
      <c r="V75" s="74"/>
      <c r="W75" s="100" t="s">
        <v>34</v>
      </c>
    </row>
    <row r="76" spans="13:23" ht="30" x14ac:dyDescent="0.25">
      <c r="M76" s="115" t="s">
        <v>35</v>
      </c>
      <c r="N76" s="114"/>
      <c r="O76" s="114"/>
      <c r="P76" s="114"/>
      <c r="Q76" s="114"/>
      <c r="R76" s="114"/>
      <c r="S76" s="114"/>
      <c r="T76" s="114"/>
      <c r="U76" s="114"/>
      <c r="V76" s="114"/>
      <c r="W76" s="115" t="s">
        <v>39</v>
      </c>
    </row>
    <row r="77" spans="13:23" x14ac:dyDescent="0.25">
      <c r="M77" s="101"/>
      <c r="N77" s="75"/>
      <c r="O77" s="75"/>
      <c r="P77" s="75"/>
      <c r="Q77" s="75"/>
      <c r="R77" s="75"/>
      <c r="S77" s="75"/>
      <c r="T77" s="75"/>
      <c r="U77" s="75"/>
      <c r="V77" s="75"/>
      <c r="W77" s="101"/>
    </row>
    <row r="78" spans="13:23" ht="30" x14ac:dyDescent="0.25">
      <c r="M78" s="115" t="s">
        <v>39</v>
      </c>
      <c r="N78" s="114"/>
      <c r="O78" s="114"/>
      <c r="P78" s="114"/>
      <c r="Q78" s="114"/>
      <c r="R78" s="114"/>
      <c r="S78" s="114"/>
      <c r="T78" s="114"/>
      <c r="U78" s="114"/>
      <c r="V78" s="114"/>
      <c r="W78" s="115" t="s">
        <v>26</v>
      </c>
    </row>
    <row r="79" spans="13:23" ht="30" x14ac:dyDescent="0.25">
      <c r="M79" s="115" t="s">
        <v>39</v>
      </c>
      <c r="N79" s="114"/>
      <c r="O79" s="114"/>
      <c r="P79" s="114"/>
      <c r="Q79" s="114"/>
      <c r="R79" s="114"/>
      <c r="S79" s="114"/>
      <c r="T79" s="114"/>
      <c r="U79" s="114"/>
      <c r="V79" s="114"/>
      <c r="W79" s="115" t="s">
        <v>27</v>
      </c>
    </row>
    <row r="80" spans="13:23" ht="30" x14ac:dyDescent="0.25">
      <c r="M80" s="115" t="s">
        <v>39</v>
      </c>
      <c r="N80" s="114"/>
      <c r="O80" s="114"/>
      <c r="P80" s="114"/>
      <c r="Q80" s="114"/>
      <c r="R80" s="114"/>
      <c r="S80" s="114"/>
      <c r="T80" s="114"/>
      <c r="U80" s="114"/>
      <c r="V80" s="114"/>
      <c r="W80" s="115" t="s">
        <v>29</v>
      </c>
    </row>
    <row r="81" spans="13:23" ht="30" x14ac:dyDescent="0.25">
      <c r="M81" s="115" t="s">
        <v>39</v>
      </c>
      <c r="N81" s="114"/>
      <c r="O81" s="114"/>
      <c r="P81" s="114"/>
      <c r="Q81" s="114"/>
      <c r="R81" s="114"/>
      <c r="S81" s="114"/>
      <c r="T81" s="114"/>
      <c r="U81" s="114"/>
      <c r="V81" s="114"/>
      <c r="W81" s="115" t="s">
        <v>30</v>
      </c>
    </row>
    <row r="82" spans="13:23" ht="30" x14ac:dyDescent="0.25">
      <c r="M82" s="115" t="s">
        <v>39</v>
      </c>
      <c r="N82" s="114"/>
      <c r="O82" s="114"/>
      <c r="P82" s="114"/>
      <c r="Q82" s="114"/>
      <c r="R82" s="114"/>
      <c r="S82" s="114"/>
      <c r="T82" s="114"/>
      <c r="U82" s="114"/>
      <c r="V82" s="114"/>
      <c r="W82" s="115" t="s">
        <v>31</v>
      </c>
    </row>
    <row r="83" spans="13:23" ht="30" x14ac:dyDescent="0.25">
      <c r="M83" s="115" t="s">
        <v>39</v>
      </c>
      <c r="N83" s="114"/>
      <c r="O83" s="114"/>
      <c r="P83" s="114"/>
      <c r="Q83" s="114"/>
      <c r="R83" s="114"/>
      <c r="S83" s="114"/>
      <c r="T83" s="114"/>
      <c r="U83" s="114"/>
      <c r="V83" s="114"/>
      <c r="W83" s="115" t="s">
        <v>32</v>
      </c>
    </row>
    <row r="84" spans="13:23" ht="30" x14ac:dyDescent="0.25">
      <c r="M84" s="115" t="s">
        <v>39</v>
      </c>
      <c r="N84" s="114"/>
      <c r="O84" s="114"/>
      <c r="P84" s="114"/>
      <c r="Q84" s="114"/>
      <c r="R84" s="114"/>
      <c r="S84" s="114"/>
      <c r="T84" s="114"/>
      <c r="U84" s="114"/>
      <c r="V84" s="114"/>
      <c r="W84" s="115" t="s">
        <v>34</v>
      </c>
    </row>
    <row r="85" spans="13:23" ht="30" x14ac:dyDescent="0.25">
      <c r="M85" s="115" t="s">
        <v>39</v>
      </c>
      <c r="N85" s="114"/>
      <c r="O85" s="114"/>
      <c r="P85" s="114"/>
      <c r="Q85" s="114"/>
      <c r="R85" s="114"/>
      <c r="S85" s="114"/>
      <c r="T85" s="114"/>
      <c r="U85" s="114"/>
      <c r="V85" s="114"/>
      <c r="W85" s="115" t="s">
        <v>35</v>
      </c>
    </row>
  </sheetData>
  <mergeCells count="1">
    <mergeCell ref="N3:V3"/>
  </mergeCells>
  <pageMargins left="0.7" right="0.7" top="0.75" bottom="0.75" header="0.3" footer="0.3"/>
  <pageSetup paperSize="9" scale="65" orientation="landscape" r:id="rId1"/>
  <rowBreaks count="1" manualBreakCount="1">
    <brk id="32" max="16383" man="1"/>
  </rowBreaks>
  <colBreaks count="3" manualBreakCount="3">
    <brk id="10" max="84" man="1"/>
    <brk id="12" max="84" man="1"/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Sheet1</vt:lpstr>
      <vt:lpstr>Parameter utama</vt:lpstr>
      <vt:lpstr>Parameter utama_olah</vt:lpstr>
      <vt:lpstr>Rasio Keuangan</vt:lpstr>
      <vt:lpstr>Rasio Keuangan_olah</vt:lpstr>
      <vt:lpstr>Range nilai rasio keu</vt:lpstr>
      <vt:lpstr>Financial Growth</vt:lpstr>
      <vt:lpstr>Range nilai financial growth</vt:lpstr>
      <vt:lpstr>Financial Growth_olah</vt:lpstr>
      <vt:lpstr>Aspek Kualitatif</vt:lpstr>
      <vt:lpstr>Aspek Kualitatif_olah</vt:lpstr>
      <vt:lpstr>Range Aspek Kualitatif_olah</vt:lpstr>
      <vt:lpstr>Template Rating Syariah</vt:lpstr>
      <vt:lpstr>'Financial Growth'!Print_Area</vt:lpstr>
      <vt:lpstr>'Financial Growth_olah'!Print_Area</vt:lpstr>
      <vt:lpstr>'Parameter utama_olah'!Print_Area</vt:lpstr>
      <vt:lpstr>'Rasio Keuangan'!Print_Area</vt:lpstr>
      <vt:lpstr>'Rasio Keuangan_olah'!Print_Area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 Borneo Putranto</dc:creator>
  <cp:lastModifiedBy>Rio Borneo Putranto</cp:lastModifiedBy>
  <cp:lastPrinted>2017-10-24T09:01:15Z</cp:lastPrinted>
  <dcterms:created xsi:type="dcterms:W3CDTF">2017-09-14T07:47:43Z</dcterms:created>
  <dcterms:modified xsi:type="dcterms:W3CDTF">2017-11-28T01:54:34Z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{FDD363F8-4D17-4C05-9DD5-736B73155D0A}</vt:lpwstr>
  </property>
</Properties>
</file>